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tables/table233.xml" ContentType="application/vnd.openxmlformats-officedocument.spreadsheetml.table+xml"/>
  <Override PartName="/xl/tables/table234.xml" ContentType="application/vnd.openxmlformats-officedocument.spreadsheetml.table+xml"/>
  <Override PartName="/xl/tables/table235.xml" ContentType="application/vnd.openxmlformats-officedocument.spreadsheetml.table+xml"/>
  <Override PartName="/xl/tables/table236.xml" ContentType="application/vnd.openxmlformats-officedocument.spreadsheetml.table+xml"/>
  <Override PartName="/xl/tables/table237.xml" ContentType="application/vnd.openxmlformats-officedocument.spreadsheetml.table+xml"/>
  <Override PartName="/xl/tables/table238.xml" ContentType="application/vnd.openxmlformats-officedocument.spreadsheetml.table+xml"/>
  <Override PartName="/xl/tables/table239.xml" ContentType="application/vnd.openxmlformats-officedocument.spreadsheetml.table+xml"/>
  <Override PartName="/xl/tables/table240.xml" ContentType="application/vnd.openxmlformats-officedocument.spreadsheetml.table+xml"/>
  <Override PartName="/xl/tables/table241.xml" ContentType="application/vnd.openxmlformats-officedocument.spreadsheetml.table+xml"/>
  <Override PartName="/xl/tables/table242.xml" ContentType="application/vnd.openxmlformats-officedocument.spreadsheetml.table+xml"/>
  <Override PartName="/xl/tables/table243.xml" ContentType="application/vnd.openxmlformats-officedocument.spreadsheetml.table+xml"/>
  <Override PartName="/xl/tables/table244.xml" ContentType="application/vnd.openxmlformats-officedocument.spreadsheetml.table+xml"/>
  <Override PartName="/xl/tables/table245.xml" ContentType="application/vnd.openxmlformats-officedocument.spreadsheetml.table+xml"/>
  <Override PartName="/xl/tables/table246.xml" ContentType="application/vnd.openxmlformats-officedocument.spreadsheetml.table+xml"/>
  <Override PartName="/xl/tables/table247.xml" ContentType="application/vnd.openxmlformats-officedocument.spreadsheetml.table+xml"/>
  <Override PartName="/xl/tables/table248.xml" ContentType="application/vnd.openxmlformats-officedocument.spreadsheetml.table+xml"/>
  <Override PartName="/xl/tables/table249.xml" ContentType="application/vnd.openxmlformats-officedocument.spreadsheetml.table+xml"/>
  <Override PartName="/xl/tables/table250.xml" ContentType="application/vnd.openxmlformats-officedocument.spreadsheetml.table+xml"/>
  <Override PartName="/xl/tables/table251.xml" ContentType="application/vnd.openxmlformats-officedocument.spreadsheetml.table+xml"/>
  <Override PartName="/xl/tables/table252.xml" ContentType="application/vnd.openxmlformats-officedocument.spreadsheetml.table+xml"/>
  <Override PartName="/xl/tables/table253.xml" ContentType="application/vnd.openxmlformats-officedocument.spreadsheetml.table+xml"/>
  <Override PartName="/xl/tables/table254.xml" ContentType="application/vnd.openxmlformats-officedocument.spreadsheetml.table+xml"/>
  <Override PartName="/xl/tables/table255.xml" ContentType="application/vnd.openxmlformats-officedocument.spreadsheetml.table+xml"/>
  <Override PartName="/xl/tables/table256.xml" ContentType="application/vnd.openxmlformats-officedocument.spreadsheetml.table+xml"/>
  <Override PartName="/xl/tables/table257.xml" ContentType="application/vnd.openxmlformats-officedocument.spreadsheetml.table+xml"/>
  <Override PartName="/xl/tables/table258.xml" ContentType="application/vnd.openxmlformats-officedocument.spreadsheetml.table+xml"/>
  <Override PartName="/xl/tables/table259.xml" ContentType="application/vnd.openxmlformats-officedocument.spreadsheetml.table+xml"/>
  <Override PartName="/xl/tables/table260.xml" ContentType="application/vnd.openxmlformats-officedocument.spreadsheetml.table+xml"/>
  <Override PartName="/xl/tables/table261.xml" ContentType="application/vnd.openxmlformats-officedocument.spreadsheetml.table+xml"/>
  <Override PartName="/xl/tables/table262.xml" ContentType="application/vnd.openxmlformats-officedocument.spreadsheetml.table+xml"/>
  <Override PartName="/xl/tables/table263.xml" ContentType="application/vnd.openxmlformats-officedocument.spreadsheetml.table+xml"/>
  <Override PartName="/xl/tables/table264.xml" ContentType="application/vnd.openxmlformats-officedocument.spreadsheetml.table+xml"/>
  <Override PartName="/xl/tables/table265.xml" ContentType="application/vnd.openxmlformats-officedocument.spreadsheetml.table+xml"/>
  <Override PartName="/xl/tables/table266.xml" ContentType="application/vnd.openxmlformats-officedocument.spreadsheetml.table+xml"/>
  <Override PartName="/xl/tables/table267.xml" ContentType="application/vnd.openxmlformats-officedocument.spreadsheetml.table+xml"/>
  <Override PartName="/xl/tables/table268.xml" ContentType="application/vnd.openxmlformats-officedocument.spreadsheetml.table+xml"/>
  <Override PartName="/xl/tables/table269.xml" ContentType="application/vnd.openxmlformats-officedocument.spreadsheetml.table+xml"/>
  <Override PartName="/xl/tables/table270.xml" ContentType="application/vnd.openxmlformats-officedocument.spreadsheetml.table+xml"/>
  <Override PartName="/xl/tables/table271.xml" ContentType="application/vnd.openxmlformats-officedocument.spreadsheetml.table+xml"/>
  <Override PartName="/xl/tables/table272.xml" ContentType="application/vnd.openxmlformats-officedocument.spreadsheetml.table+xml"/>
  <Override PartName="/xl/tables/table273.xml" ContentType="application/vnd.openxmlformats-officedocument.spreadsheetml.table+xml"/>
  <Override PartName="/xl/tables/table274.xml" ContentType="application/vnd.openxmlformats-officedocument.spreadsheetml.table+xml"/>
  <Override PartName="/xl/tables/table275.xml" ContentType="application/vnd.openxmlformats-officedocument.spreadsheetml.table+xml"/>
  <Override PartName="/xl/tables/table276.xml" ContentType="application/vnd.openxmlformats-officedocument.spreadsheetml.table+xml"/>
  <Override PartName="/xl/tables/table277.xml" ContentType="application/vnd.openxmlformats-officedocument.spreadsheetml.table+xml"/>
  <Override PartName="/xl/tables/table278.xml" ContentType="application/vnd.openxmlformats-officedocument.spreadsheetml.table+xml"/>
  <Override PartName="/xl/tables/table279.xml" ContentType="application/vnd.openxmlformats-officedocument.spreadsheetml.table+xml"/>
  <Override PartName="/xl/tables/table280.xml" ContentType="application/vnd.openxmlformats-officedocument.spreadsheetml.table+xml"/>
  <Override PartName="/xl/tables/table281.xml" ContentType="application/vnd.openxmlformats-officedocument.spreadsheetml.table+xml"/>
  <Override PartName="/xl/tables/table282.xml" ContentType="application/vnd.openxmlformats-officedocument.spreadsheetml.table+xml"/>
  <Override PartName="/xl/tables/table283.xml" ContentType="application/vnd.openxmlformats-officedocument.spreadsheetml.table+xml"/>
  <Override PartName="/xl/tables/table284.xml" ContentType="application/vnd.openxmlformats-officedocument.spreadsheetml.table+xml"/>
  <Override PartName="/xl/tables/table285.xml" ContentType="application/vnd.openxmlformats-officedocument.spreadsheetml.table+xml"/>
  <Override PartName="/xl/tables/table286.xml" ContentType="application/vnd.openxmlformats-officedocument.spreadsheetml.table+xml"/>
  <Override PartName="/xl/tables/table287.xml" ContentType="application/vnd.openxmlformats-officedocument.spreadsheetml.table+xml"/>
  <Override PartName="/xl/tables/table288.xml" ContentType="application/vnd.openxmlformats-officedocument.spreadsheetml.table+xml"/>
  <Override PartName="/xl/tables/table289.xml" ContentType="application/vnd.openxmlformats-officedocument.spreadsheetml.table+xml"/>
  <Override PartName="/xl/tables/table290.xml" ContentType="application/vnd.openxmlformats-officedocument.spreadsheetml.table+xml"/>
  <Override PartName="/xl/tables/table291.xml" ContentType="application/vnd.openxmlformats-officedocument.spreadsheetml.table+xml"/>
  <Override PartName="/xl/tables/table292.xml" ContentType="application/vnd.openxmlformats-officedocument.spreadsheetml.table+xml"/>
  <Override PartName="/xl/tables/table293.xml" ContentType="application/vnd.openxmlformats-officedocument.spreadsheetml.table+xml"/>
  <Override PartName="/xl/tables/table294.xml" ContentType="application/vnd.openxmlformats-officedocument.spreadsheetml.table+xml"/>
  <Override PartName="/xl/tables/table295.xml" ContentType="application/vnd.openxmlformats-officedocument.spreadsheetml.table+xml"/>
  <Override PartName="/xl/tables/table296.xml" ContentType="application/vnd.openxmlformats-officedocument.spreadsheetml.table+xml"/>
  <Override PartName="/xl/tables/table297.xml" ContentType="application/vnd.openxmlformats-officedocument.spreadsheetml.table+xml"/>
  <Override PartName="/xl/tables/table298.xml" ContentType="application/vnd.openxmlformats-officedocument.spreadsheetml.table+xml"/>
  <Override PartName="/xl/tables/table299.xml" ContentType="application/vnd.openxmlformats-officedocument.spreadsheetml.table+xml"/>
  <Override PartName="/xl/tables/table300.xml" ContentType="application/vnd.openxmlformats-officedocument.spreadsheetml.table+xml"/>
  <Override PartName="/xl/tables/table301.xml" ContentType="application/vnd.openxmlformats-officedocument.spreadsheetml.table+xml"/>
  <Override PartName="/xl/tables/table302.xml" ContentType="application/vnd.openxmlformats-officedocument.spreadsheetml.table+xml"/>
  <Override PartName="/xl/tables/table303.xml" ContentType="application/vnd.openxmlformats-officedocument.spreadsheetml.table+xml"/>
  <Override PartName="/xl/tables/table304.xml" ContentType="application/vnd.openxmlformats-officedocument.spreadsheetml.table+xml"/>
  <Override PartName="/xl/tables/table305.xml" ContentType="application/vnd.openxmlformats-officedocument.spreadsheetml.table+xml"/>
  <Override PartName="/xl/tables/table306.xml" ContentType="application/vnd.openxmlformats-officedocument.spreadsheetml.table+xml"/>
  <Override PartName="/xl/tables/table307.xml" ContentType="application/vnd.openxmlformats-officedocument.spreadsheetml.table+xml"/>
  <Override PartName="/xl/tables/table308.xml" ContentType="application/vnd.openxmlformats-officedocument.spreadsheetml.table+xml"/>
  <Override PartName="/xl/tables/table309.xml" ContentType="application/vnd.openxmlformats-officedocument.spreadsheetml.table+xml"/>
  <Override PartName="/xl/tables/table310.xml" ContentType="application/vnd.openxmlformats-officedocument.spreadsheetml.table+xml"/>
  <Override PartName="/xl/tables/table311.xml" ContentType="application/vnd.openxmlformats-officedocument.spreadsheetml.table+xml"/>
  <Override PartName="/xl/tables/table312.xml" ContentType="application/vnd.openxmlformats-officedocument.spreadsheetml.table+xml"/>
  <Override PartName="/xl/tables/table313.xml" ContentType="application/vnd.openxmlformats-officedocument.spreadsheetml.table+xml"/>
  <Override PartName="/xl/tables/table314.xml" ContentType="application/vnd.openxmlformats-officedocument.spreadsheetml.table+xml"/>
  <Override PartName="/xl/tables/table315.xml" ContentType="application/vnd.openxmlformats-officedocument.spreadsheetml.table+xml"/>
  <Override PartName="/xl/tables/table316.xml" ContentType="application/vnd.openxmlformats-officedocument.spreadsheetml.table+xml"/>
  <Override PartName="/xl/tables/table317.xml" ContentType="application/vnd.openxmlformats-officedocument.spreadsheetml.table+xml"/>
  <Override PartName="/xl/tables/table318.xml" ContentType="application/vnd.openxmlformats-officedocument.spreadsheetml.table+xml"/>
  <Override PartName="/xl/tables/table319.xml" ContentType="application/vnd.openxmlformats-officedocument.spreadsheetml.table+xml"/>
  <Override PartName="/xl/tables/table320.xml" ContentType="application/vnd.openxmlformats-officedocument.spreadsheetml.table+xml"/>
  <Override PartName="/xl/tables/table321.xml" ContentType="application/vnd.openxmlformats-officedocument.spreadsheetml.table+xml"/>
  <Override PartName="/xl/tables/table322.xml" ContentType="application/vnd.openxmlformats-officedocument.spreadsheetml.table+xml"/>
  <Override PartName="/xl/tables/table323.xml" ContentType="application/vnd.openxmlformats-officedocument.spreadsheetml.table+xml"/>
  <Override PartName="/xl/tables/table324.xml" ContentType="application/vnd.openxmlformats-officedocument.spreadsheetml.table+xml"/>
  <Override PartName="/xl/tables/table325.xml" ContentType="application/vnd.openxmlformats-officedocument.spreadsheetml.table+xml"/>
  <Override PartName="/xl/tables/table326.xml" ContentType="application/vnd.openxmlformats-officedocument.spreadsheetml.table+xml"/>
  <Override PartName="/xl/tables/table327.xml" ContentType="application/vnd.openxmlformats-officedocument.spreadsheetml.table+xml"/>
  <Override PartName="/xl/tables/table328.xml" ContentType="application/vnd.openxmlformats-officedocument.spreadsheetml.table+xml"/>
  <Override PartName="/xl/tables/table329.xml" ContentType="application/vnd.openxmlformats-officedocument.spreadsheetml.table+xml"/>
  <Override PartName="/xl/tables/table330.xml" ContentType="application/vnd.openxmlformats-officedocument.spreadsheetml.table+xml"/>
  <Override PartName="/xl/tables/table331.xml" ContentType="application/vnd.openxmlformats-officedocument.spreadsheetml.table+xml"/>
  <Override PartName="/xl/tables/table332.xml" ContentType="application/vnd.openxmlformats-officedocument.spreadsheetml.table+xml"/>
  <Override PartName="/xl/tables/table333.xml" ContentType="application/vnd.openxmlformats-officedocument.spreadsheetml.table+xml"/>
  <Override PartName="/xl/tables/table334.xml" ContentType="application/vnd.openxmlformats-officedocument.spreadsheetml.table+xml"/>
  <Override PartName="/xl/tables/table335.xml" ContentType="application/vnd.openxmlformats-officedocument.spreadsheetml.table+xml"/>
  <Override PartName="/xl/tables/table336.xml" ContentType="application/vnd.openxmlformats-officedocument.spreadsheetml.table+xml"/>
  <Override PartName="/xl/tables/table337.xml" ContentType="application/vnd.openxmlformats-officedocument.spreadsheetml.table+xml"/>
  <Override PartName="/xl/tables/table338.xml" ContentType="application/vnd.openxmlformats-officedocument.spreadsheetml.table+xml"/>
  <Override PartName="/xl/tables/table339.xml" ContentType="application/vnd.openxmlformats-officedocument.spreadsheetml.table+xml"/>
  <Override PartName="/xl/tables/table340.xml" ContentType="application/vnd.openxmlformats-officedocument.spreadsheetml.table+xml"/>
  <Override PartName="/xl/tables/table341.xml" ContentType="application/vnd.openxmlformats-officedocument.spreadsheetml.table+xml"/>
  <Override PartName="/xl/tables/table342.xml" ContentType="application/vnd.openxmlformats-officedocument.spreadsheetml.table+xml"/>
  <Override PartName="/xl/tables/table343.xml" ContentType="application/vnd.openxmlformats-officedocument.spreadsheetml.table+xml"/>
  <Override PartName="/xl/tables/table344.xml" ContentType="application/vnd.openxmlformats-officedocument.spreadsheetml.table+xml"/>
  <Override PartName="/xl/tables/table345.xml" ContentType="application/vnd.openxmlformats-officedocument.spreadsheetml.table+xml"/>
  <Override PartName="/xl/tables/table346.xml" ContentType="application/vnd.openxmlformats-officedocument.spreadsheetml.table+xml"/>
  <Override PartName="/xl/tables/table347.xml" ContentType="application/vnd.openxmlformats-officedocument.spreadsheetml.table+xml"/>
  <Override PartName="/xl/tables/table348.xml" ContentType="application/vnd.openxmlformats-officedocument.spreadsheetml.table+xml"/>
  <Override PartName="/xl/tables/table349.xml" ContentType="application/vnd.openxmlformats-officedocument.spreadsheetml.table+xml"/>
  <Override PartName="/xl/tables/table350.xml" ContentType="application/vnd.openxmlformats-officedocument.spreadsheetml.table+xml"/>
  <Override PartName="/xl/tables/table351.xml" ContentType="application/vnd.openxmlformats-officedocument.spreadsheetml.table+xml"/>
  <Override PartName="/xl/tables/table352.xml" ContentType="application/vnd.openxmlformats-officedocument.spreadsheetml.table+xml"/>
  <Override PartName="/xl/tables/table353.xml" ContentType="application/vnd.openxmlformats-officedocument.spreadsheetml.table+xml"/>
  <Override PartName="/xl/tables/table354.xml" ContentType="application/vnd.openxmlformats-officedocument.spreadsheetml.table+xml"/>
  <Override PartName="/xl/tables/table355.xml" ContentType="application/vnd.openxmlformats-officedocument.spreadsheetml.table+xml"/>
  <Override PartName="/xl/tables/table356.xml" ContentType="application/vnd.openxmlformats-officedocument.spreadsheetml.table+xml"/>
  <Override PartName="/xl/tables/table357.xml" ContentType="application/vnd.openxmlformats-officedocument.spreadsheetml.table+xml"/>
  <Override PartName="/xl/tables/table358.xml" ContentType="application/vnd.openxmlformats-officedocument.spreadsheetml.table+xml"/>
  <Override PartName="/xl/tables/table359.xml" ContentType="application/vnd.openxmlformats-officedocument.spreadsheetml.table+xml"/>
  <Override PartName="/xl/tables/table360.xml" ContentType="application/vnd.openxmlformats-officedocument.spreadsheetml.table+xml"/>
  <Override PartName="/xl/tables/table361.xml" ContentType="application/vnd.openxmlformats-officedocument.spreadsheetml.table+xml"/>
  <Override PartName="/xl/tables/table362.xml" ContentType="application/vnd.openxmlformats-officedocument.spreadsheetml.table+xml"/>
  <Override PartName="/xl/tables/table363.xml" ContentType="application/vnd.openxmlformats-officedocument.spreadsheetml.table+xml"/>
  <Override PartName="/xl/tables/table364.xml" ContentType="application/vnd.openxmlformats-officedocument.spreadsheetml.table+xml"/>
  <Override PartName="/xl/tables/table365.xml" ContentType="application/vnd.openxmlformats-officedocument.spreadsheetml.table+xml"/>
  <Override PartName="/xl/tables/table366.xml" ContentType="application/vnd.openxmlformats-officedocument.spreadsheetml.table+xml"/>
  <Override PartName="/xl/tables/table367.xml" ContentType="application/vnd.openxmlformats-officedocument.spreadsheetml.table+xml"/>
  <Override PartName="/xl/tables/table368.xml" ContentType="application/vnd.openxmlformats-officedocument.spreadsheetml.table+xml"/>
  <Override PartName="/xl/tables/table369.xml" ContentType="application/vnd.openxmlformats-officedocument.spreadsheetml.table+xml"/>
  <Override PartName="/xl/tables/table370.xml" ContentType="application/vnd.openxmlformats-officedocument.spreadsheetml.table+xml"/>
  <Override PartName="/xl/tables/table371.xml" ContentType="application/vnd.openxmlformats-officedocument.spreadsheetml.table+xml"/>
  <Override PartName="/xl/tables/table37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373.xml" ContentType="application/vnd.openxmlformats-officedocument.spreadsheetml.table+xml"/>
  <Override PartName="/xl/tables/table374.xml" ContentType="application/vnd.openxmlformats-officedocument.spreadsheetml.table+xml"/>
  <Override PartName="/xl/tables/table375.xml" ContentType="application/vnd.openxmlformats-officedocument.spreadsheetml.table+xml"/>
  <Override PartName="/xl/tables/table376.xml" ContentType="application/vnd.openxmlformats-officedocument.spreadsheetml.table+xml"/>
  <Override PartName="/xl/tables/table377.xml" ContentType="application/vnd.openxmlformats-officedocument.spreadsheetml.table+xml"/>
  <Override PartName="/xl/drawings/drawing1.xml" ContentType="application/vnd.openxmlformats-officedocument.drawing+xml"/>
  <Override PartName="/xl/tables/table378.xml" ContentType="application/vnd.openxmlformats-officedocument.spreadsheetml.table+xml"/>
  <Override PartName="/xl/drawings/drawing2.xml" ContentType="application/vnd.openxmlformats-officedocument.drawing+xml"/>
  <Override PartName="/xl/tables/table379.xml" ContentType="application/vnd.openxmlformats-officedocument.spreadsheetml.table+xml"/>
  <Override PartName="/xl/drawings/drawing3.xml" ContentType="application/vnd.openxmlformats-officedocument.drawing+xml"/>
  <Override PartName="/xl/ctrlProps/ctrlProp1.xml" ContentType="application/vnd.ms-excel.controlproperties+xml"/>
  <Override PartName="/xl/tables/table380.xml" ContentType="application/vnd.openxmlformats-officedocument.spreadsheetml.table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vasterasfriidrott.sharepoint.com/Delade dokument/GEMENSAM/Hallbokningar/Public/"/>
    </mc:Choice>
  </mc:AlternateContent>
  <xr:revisionPtr revIDLastSave="0" documentId="8_{F245E1D5-7E82-49FD-B00D-EB4124F060B2}" xr6:coauthVersionLast="47" xr6:coauthVersionMax="47" xr10:uidLastSave="{00000000-0000-0000-0000-000000000000}"/>
  <bookViews>
    <workbookView xWindow="-108" yWindow="-108" windowWidth="23256" windowHeight="12456" firstSheet="36" activeTab="36" xr2:uid="{7DB404AA-9E09-41D3-8CEE-9790FFD231AA}"/>
  </bookViews>
  <sheets>
    <sheet name="V. 1, 30 dec-5 jan" sheetId="1" state="hidden" r:id="rId1"/>
    <sheet name="V. 2, 6 jan-12 jan" sheetId="5" state="hidden" r:id="rId2"/>
    <sheet name="V. 3, 13 jan-19 jan" sheetId="6" state="hidden" r:id="rId3"/>
    <sheet name="V. 4, 20 jan-26 jan" sheetId="7" state="hidden" r:id="rId4"/>
    <sheet name="V. 5, 27 jan-2 feb" sheetId="22" state="hidden" r:id="rId5"/>
    <sheet name="V. 6, 3 feb-9 feb" sheetId="27" state="hidden" r:id="rId6"/>
    <sheet name="V. 7, 10 feb-16 feb" sheetId="28" state="hidden" r:id="rId7"/>
    <sheet name="V. 8, 17 feb-23 feb" sheetId="74" state="hidden" r:id="rId8"/>
    <sheet name="V. 9, 24 feb-2 mar" sheetId="73" state="hidden" r:id="rId9"/>
    <sheet name="V. 10, 3 mar-9 mar" sheetId="72" state="hidden" r:id="rId10"/>
    <sheet name="V. 11, 10 mar-16 mar" sheetId="71" state="hidden" r:id="rId11"/>
    <sheet name="V. 12, 17 mar-23 mar" sheetId="70" state="hidden" r:id="rId12"/>
    <sheet name="V. 13, 24 mar-30 mar" sheetId="69" state="hidden" r:id="rId13"/>
    <sheet name="V. 14, 31 mar-6 apr" sheetId="68" state="hidden" r:id="rId14"/>
    <sheet name="V. 15, 7 apr-13 apr" sheetId="67" state="hidden" r:id="rId15"/>
    <sheet name="V. 16, 14 apr-20 apr" sheetId="66" state="hidden" r:id="rId16"/>
    <sheet name="V. 17, 21 apr-27 apr" sheetId="65" state="hidden" r:id="rId17"/>
    <sheet name="V. 18, 28 apr-4 maj" sheetId="64" state="hidden" r:id="rId18"/>
    <sheet name="V. 19, 5 maj-11 maj" sheetId="63" state="hidden" r:id="rId19"/>
    <sheet name="V. 20, 12 maj-18 maj" sheetId="62" state="hidden" r:id="rId20"/>
    <sheet name="V. 21, 19 maj-25 maj" sheetId="61" state="hidden" r:id="rId21"/>
    <sheet name="V. 22, 26 maj-1 jun" sheetId="60" state="hidden" r:id="rId22"/>
    <sheet name="V. 23, 2 jun-8 jun" sheetId="59" state="hidden" r:id="rId23"/>
    <sheet name="V. 24, 9 jun-15 jun" sheetId="58" state="hidden" r:id="rId24"/>
    <sheet name="V. 25, 16 jun-22 jun" sheetId="57" state="hidden" r:id="rId25"/>
    <sheet name="V. 26, 23 jun-29 jun" sheetId="78" state="hidden" r:id="rId26"/>
    <sheet name="V. 27, 30 jun-6 jul" sheetId="55" r:id="rId27"/>
    <sheet name="V. 28, 7 jul-13 jul" sheetId="54" r:id="rId28"/>
    <sheet name="V. 29, 14 jul-20 jul" sheetId="53" r:id="rId29"/>
    <sheet name="V. 30, 21 jul-27 jul" sheetId="52" r:id="rId30"/>
    <sheet name="V. 31, 28 jul-3 aug" sheetId="51" r:id="rId31"/>
    <sheet name="V. 32, 4 aug-10 aug" sheetId="49" r:id="rId32"/>
    <sheet name="V. 33, 11 aug-17 aug" sheetId="48" r:id="rId33"/>
    <sheet name="V. 34, 18 aug-24 aug" sheetId="47" r:id="rId34"/>
    <sheet name="V. 35, 25 aug-31 aug" sheetId="46" r:id="rId35"/>
    <sheet name="V. 36, 1 sep-7 sep" sheetId="45" r:id="rId36"/>
    <sheet name="V. 37, 8 sep-14 sep" sheetId="44" r:id="rId37"/>
    <sheet name="V. 38, 15 sep-21 sep" sheetId="43" r:id="rId38"/>
    <sheet name="V. 39, 22 sep-28 sep" sheetId="42" r:id="rId39"/>
    <sheet name="V. 40, 29 sep-5 okt" sheetId="41" r:id="rId40"/>
    <sheet name="V. 41, 6 okt-12 okt" sheetId="40" r:id="rId41"/>
    <sheet name="V. 42, 13 okt-19 okt" sheetId="39" r:id="rId42"/>
    <sheet name="V. 43, 20 okt-26 okt" sheetId="38" r:id="rId43"/>
    <sheet name="V. 44, 27 okt-2 nov" sheetId="37" r:id="rId44"/>
    <sheet name="V. 45, 3 nov-9 nov" sheetId="36" r:id="rId45"/>
    <sheet name="V. 46, 10 nov-16 nov" sheetId="35" r:id="rId46"/>
    <sheet name="V. 47, 17 nov-23 nov" sheetId="34" r:id="rId47"/>
    <sheet name="V. 48, 24 nov-30 nov" sheetId="33" r:id="rId48"/>
    <sheet name="V. 49, 1 dec-7 dec" sheetId="32" r:id="rId49"/>
    <sheet name="V. 50, 8 dec-14 dec" sheetId="31" r:id="rId50"/>
    <sheet name="V. 51, 15 dec-21 dec" sheetId="29" r:id="rId51"/>
    <sheet name="V. 52, 22 dec-28 dec" sheetId="30" r:id="rId52"/>
    <sheet name="V. 1, 29 dec-4 jan" sheetId="50" r:id="rId53"/>
    <sheet name="Kontaktuppgifter" sheetId="4" state="hidden" r:id="rId54"/>
    <sheet name="Kalenderår" sheetId="2" state="hidden" r:id="rId55"/>
    <sheet name="Listor" sheetId="3" state="hidden" r:id="rId56"/>
    <sheet name="Sammanställning" sheetId="79" state="hidden" r:id="rId57"/>
    <sheet name="Bokningsbekräftelse VT" sheetId="80" state="hidden" r:id="rId58"/>
    <sheet name="Bokningsbekräftelse HT" sheetId="81" state="hidden" r:id="rId59"/>
    <sheet name="Fakturamall" sheetId="82" state="hidden" r:id="rId60"/>
  </sheets>
  <externalReferences>
    <externalReference r:id="rId61"/>
  </externalReferences>
  <definedNames>
    <definedName name="Fredag1" localSheetId="58">[1]Kalenderår!$H$2</definedName>
    <definedName name="Fredag1" localSheetId="57">[1]Kalenderår!$H$2</definedName>
    <definedName name="Fredag1">Kalenderår!$H$2</definedName>
    <definedName name="Fredag10" localSheetId="58">[1]Kalenderår!$H$11</definedName>
    <definedName name="Fredag10" localSheetId="57">[1]Kalenderår!$H$11</definedName>
    <definedName name="Fredag10">Kalenderår!$H$11</definedName>
    <definedName name="Fredag11" localSheetId="58">[1]Kalenderår!$H$12</definedName>
    <definedName name="Fredag11" localSheetId="57">[1]Kalenderår!$H$12</definedName>
    <definedName name="Fredag11">Kalenderår!$H$12</definedName>
    <definedName name="Fredag12" localSheetId="58">[1]Kalenderår!$H$13</definedName>
    <definedName name="Fredag12" localSheetId="57">[1]Kalenderår!$H$13</definedName>
    <definedName name="Fredag12">Kalenderår!$H$13</definedName>
    <definedName name="Fredag13" localSheetId="58">[1]Kalenderår!$H$14</definedName>
    <definedName name="Fredag13" localSheetId="57">[1]Kalenderår!$H$14</definedName>
    <definedName name="Fredag13">Kalenderår!$H$14</definedName>
    <definedName name="Fredag14" localSheetId="58">[1]Kalenderår!$H$15</definedName>
    <definedName name="Fredag14" localSheetId="57">[1]Kalenderår!$H$15</definedName>
    <definedName name="Fredag14">Kalenderår!$H$15</definedName>
    <definedName name="Fredag15" localSheetId="58">[1]Kalenderår!$H$16</definedName>
    <definedName name="Fredag15" localSheetId="57">[1]Kalenderår!$H$16</definedName>
    <definedName name="Fredag15">Kalenderår!$H$16</definedName>
    <definedName name="Fredag16" localSheetId="58">[1]Kalenderår!$H$17</definedName>
    <definedName name="Fredag16" localSheetId="57">[1]Kalenderår!$H$17</definedName>
    <definedName name="Fredag16">Kalenderår!$H$17</definedName>
    <definedName name="Fredag17" localSheetId="58">[1]Kalenderår!$H$18</definedName>
    <definedName name="Fredag17" localSheetId="57">[1]Kalenderår!$H$18</definedName>
    <definedName name="Fredag17">Kalenderår!$H$18</definedName>
    <definedName name="Fredag18" localSheetId="58">[1]Kalenderår!$H$19</definedName>
    <definedName name="Fredag18" localSheetId="57">[1]Kalenderår!$H$19</definedName>
    <definedName name="Fredag18">Kalenderår!$H$19</definedName>
    <definedName name="Fredag19" localSheetId="58">[1]Kalenderår!$H$20</definedName>
    <definedName name="Fredag19" localSheetId="57">[1]Kalenderår!$H$20</definedName>
    <definedName name="Fredag19">Kalenderår!$H$20</definedName>
    <definedName name="Fredag2" localSheetId="58">[1]Kalenderår!$H$3</definedName>
    <definedName name="Fredag2" localSheetId="57">[1]Kalenderår!$H$3</definedName>
    <definedName name="Fredag2">Kalenderår!$H$3</definedName>
    <definedName name="Fredag20" localSheetId="58">[1]Kalenderår!$H$21</definedName>
    <definedName name="Fredag20" localSheetId="57">[1]Kalenderår!$H$21</definedName>
    <definedName name="Fredag20">Kalenderår!$H$21</definedName>
    <definedName name="Fredag21" localSheetId="58">[1]Kalenderår!$H$22</definedName>
    <definedName name="Fredag21" localSheetId="57">[1]Kalenderår!$H$22</definedName>
    <definedName name="Fredag21">Kalenderår!$H$22</definedName>
    <definedName name="Fredag22" localSheetId="58">[1]Kalenderår!$H$23</definedName>
    <definedName name="Fredag22" localSheetId="57">[1]Kalenderår!$H$23</definedName>
    <definedName name="Fredag22">Kalenderår!$H$23</definedName>
    <definedName name="Fredag23" localSheetId="58">[1]Kalenderår!$H$24</definedName>
    <definedName name="Fredag23" localSheetId="57">[1]Kalenderår!$H$24</definedName>
    <definedName name="Fredag23">Kalenderår!$H$24</definedName>
    <definedName name="Fredag24" localSheetId="58">[1]Kalenderår!$H$25</definedName>
    <definedName name="Fredag24" localSheetId="57">[1]Kalenderår!$H$25</definedName>
    <definedName name="Fredag24">Kalenderår!$H$25</definedName>
    <definedName name="Fredag25" localSheetId="58">[1]Kalenderår!$H$26</definedName>
    <definedName name="Fredag25" localSheetId="57">[1]Kalenderår!$H$26</definedName>
    <definedName name="Fredag25">Kalenderår!$H$26</definedName>
    <definedName name="Fredag26" localSheetId="58">[1]Kalenderår!$H$27</definedName>
    <definedName name="Fredag26" localSheetId="57">[1]Kalenderår!$H$27</definedName>
    <definedName name="Fredag26">Kalenderår!$H$27</definedName>
    <definedName name="Fredag27" localSheetId="58">[1]Kalenderår!$H$28</definedName>
    <definedName name="Fredag27" localSheetId="57">[1]Kalenderår!$H$28</definedName>
    <definedName name="Fredag27" localSheetId="59">[1]Kalenderår!$H$28</definedName>
    <definedName name="Fredag27">Kalenderår!$H$28</definedName>
    <definedName name="Fredag28" localSheetId="58">[1]Kalenderår!$H$29</definedName>
    <definedName name="Fredag28" localSheetId="57">[1]Kalenderår!$H$29</definedName>
    <definedName name="Fredag28" localSheetId="59">[1]Kalenderår!$H$29</definedName>
    <definedName name="Fredag28">Kalenderår!$H$29</definedName>
    <definedName name="Fredag29" localSheetId="58">[1]Kalenderår!$H$30</definedName>
    <definedName name="Fredag29" localSheetId="57">[1]Kalenderår!$H$30</definedName>
    <definedName name="Fredag29" localSheetId="59">[1]Kalenderår!$H$30</definedName>
    <definedName name="Fredag29">Kalenderår!$H$30</definedName>
    <definedName name="Fredag3" localSheetId="58">[1]Kalenderår!$H$4</definedName>
    <definedName name="Fredag3" localSheetId="57">[1]Kalenderår!$H$4</definedName>
    <definedName name="Fredag3">Kalenderår!$H$4</definedName>
    <definedName name="Fredag30" localSheetId="58">[1]Kalenderår!$H$31</definedName>
    <definedName name="Fredag30" localSheetId="57">[1]Kalenderår!$H$31</definedName>
    <definedName name="Fredag30" localSheetId="59">[1]Kalenderår!$H$31</definedName>
    <definedName name="Fredag30">Kalenderår!$H$31</definedName>
    <definedName name="Fredag31" localSheetId="58">[1]Kalenderår!$H$32</definedName>
    <definedName name="Fredag31" localSheetId="57">[1]Kalenderår!$H$32</definedName>
    <definedName name="Fredag31" localSheetId="59">[1]Kalenderår!$H$32</definedName>
    <definedName name="Fredag31">Kalenderår!$H$32</definedName>
    <definedName name="Fredag32" localSheetId="58">[1]Kalenderår!$H$33</definedName>
    <definedName name="Fredag32" localSheetId="57">[1]Kalenderår!$H$33</definedName>
    <definedName name="Fredag32" localSheetId="59">[1]Kalenderår!$H$33</definedName>
    <definedName name="Fredag32">Kalenderår!$H$33</definedName>
    <definedName name="Fredag33" localSheetId="58">[1]Kalenderår!$H$34</definedName>
    <definedName name="Fredag33" localSheetId="57">[1]Kalenderår!$H$34</definedName>
    <definedName name="Fredag33" localSheetId="59">[1]Kalenderår!$H$34</definedName>
    <definedName name="Fredag33">Kalenderår!$H$34</definedName>
    <definedName name="Fredag34" localSheetId="58">[1]Kalenderår!$H$35</definedName>
    <definedName name="Fredag34" localSheetId="57">[1]Kalenderår!$H$35</definedName>
    <definedName name="Fredag34" localSheetId="59">[1]Kalenderår!$H$35</definedName>
    <definedName name="Fredag34">Kalenderår!$H$35</definedName>
    <definedName name="Fredag35" localSheetId="58">[1]Kalenderår!$H$36</definedName>
    <definedName name="Fredag35" localSheetId="57">[1]Kalenderår!$H$36</definedName>
    <definedName name="Fredag35" localSheetId="59">[1]Kalenderår!$H$36</definedName>
    <definedName name="Fredag35">Kalenderår!$H$36</definedName>
    <definedName name="Fredag36" localSheetId="58">[1]Kalenderår!$H$37</definedName>
    <definedName name="Fredag36" localSheetId="57">[1]Kalenderår!$H$37</definedName>
    <definedName name="Fredag36" localSheetId="59">[1]Kalenderår!$H$37</definedName>
    <definedName name="Fredag36">Kalenderår!$H$37</definedName>
    <definedName name="Fredag37" localSheetId="58">[1]Kalenderår!$H$38</definedName>
    <definedName name="Fredag37" localSheetId="57">[1]Kalenderår!$H$38</definedName>
    <definedName name="Fredag37" localSheetId="59">[1]Kalenderår!$H$38</definedName>
    <definedName name="Fredag37">Kalenderår!$H$38</definedName>
    <definedName name="Fredag38" localSheetId="58">[1]Kalenderår!$H$39</definedName>
    <definedName name="Fredag38" localSheetId="57">[1]Kalenderår!$H$39</definedName>
    <definedName name="Fredag38" localSheetId="59">[1]Kalenderår!$H$39</definedName>
    <definedName name="Fredag38">Kalenderår!$H$39</definedName>
    <definedName name="Fredag39" localSheetId="58">[1]Kalenderår!$H$40</definedName>
    <definedName name="Fredag39" localSheetId="57">[1]Kalenderår!$H$40</definedName>
    <definedName name="Fredag39" localSheetId="59">[1]Kalenderår!$H$40</definedName>
    <definedName name="Fredag39">Kalenderår!$H$40</definedName>
    <definedName name="Fredag4" localSheetId="58">[1]Kalenderår!$H$5</definedName>
    <definedName name="Fredag4" localSheetId="57">[1]Kalenderår!$H$5</definedName>
    <definedName name="Fredag4">Kalenderår!$H$5</definedName>
    <definedName name="Fredag40" localSheetId="58">[1]Kalenderår!$H$41</definedName>
    <definedName name="Fredag40" localSheetId="57">[1]Kalenderår!$H$41</definedName>
    <definedName name="Fredag40" localSheetId="59">[1]Kalenderår!$H$41</definedName>
    <definedName name="Fredag40">Kalenderår!$H$41</definedName>
    <definedName name="Fredag41" localSheetId="58">[1]Kalenderår!$H$42</definedName>
    <definedName name="Fredag41" localSheetId="57">[1]Kalenderår!$H$42</definedName>
    <definedName name="Fredag41" localSheetId="59">[1]Kalenderår!$H$42</definedName>
    <definedName name="Fredag41">Kalenderår!$H$42</definedName>
    <definedName name="Fredag42" localSheetId="58">[1]Kalenderår!$H$43</definedName>
    <definedName name="Fredag42" localSheetId="57">[1]Kalenderår!$H$43</definedName>
    <definedName name="Fredag42" localSheetId="59">[1]Kalenderår!$H$43</definedName>
    <definedName name="Fredag42">Kalenderår!$H$43</definedName>
    <definedName name="Fredag43" localSheetId="58">[1]Kalenderår!$H$44</definedName>
    <definedName name="Fredag43" localSheetId="57">[1]Kalenderår!$H$44</definedName>
    <definedName name="Fredag43" localSheetId="59">[1]Kalenderår!$H$44</definedName>
    <definedName name="Fredag43">Kalenderår!$H$44</definedName>
    <definedName name="Fredag44" localSheetId="58">[1]Kalenderår!$H$45</definedName>
    <definedName name="Fredag44" localSheetId="57">[1]Kalenderår!$H$45</definedName>
    <definedName name="Fredag44" localSheetId="59">[1]Kalenderår!$H$45</definedName>
    <definedName name="Fredag44">Kalenderår!$H$45</definedName>
    <definedName name="Fredag45" localSheetId="58">[1]Kalenderår!$H$46</definedName>
    <definedName name="Fredag45" localSheetId="57">[1]Kalenderår!$H$46</definedName>
    <definedName name="Fredag45" localSheetId="59">[1]Kalenderår!$H$46</definedName>
    <definedName name="Fredag45">Kalenderår!$H$46</definedName>
    <definedName name="Fredag46" localSheetId="58">[1]Kalenderår!$H$47</definedName>
    <definedName name="Fredag46" localSheetId="57">[1]Kalenderår!$H$47</definedName>
    <definedName name="Fredag46" localSheetId="59">[1]Kalenderår!$H$47</definedName>
    <definedName name="Fredag46">Kalenderår!$H$47</definedName>
    <definedName name="Fredag47" localSheetId="58">[1]Kalenderår!$H$48</definedName>
    <definedName name="Fredag47" localSheetId="57">[1]Kalenderår!$H$48</definedName>
    <definedName name="Fredag47" localSheetId="59">[1]Kalenderår!$H$48</definedName>
    <definedName name="Fredag47">Kalenderår!$H$48</definedName>
    <definedName name="Fredag48" localSheetId="58">[1]Kalenderår!$H$49</definedName>
    <definedName name="Fredag48" localSheetId="57">[1]Kalenderår!$H$49</definedName>
    <definedName name="Fredag48" localSheetId="59">[1]Kalenderår!$H$49</definedName>
    <definedName name="Fredag48">Kalenderår!$H$49</definedName>
    <definedName name="Fredag49" localSheetId="58">[1]Kalenderår!$H$50</definedName>
    <definedName name="Fredag49" localSheetId="57">[1]Kalenderår!$H$50</definedName>
    <definedName name="Fredag49" localSheetId="59">[1]Kalenderår!$H$50</definedName>
    <definedName name="Fredag49">Kalenderår!$H$50</definedName>
    <definedName name="Fredag5" localSheetId="58">[1]Kalenderår!$H$6</definedName>
    <definedName name="Fredag5" localSheetId="57">[1]Kalenderår!$H$6</definedName>
    <definedName name="Fredag5">Kalenderår!$H$6</definedName>
    <definedName name="Fredag50" localSheetId="58">[1]Kalenderår!$H$51</definedName>
    <definedName name="Fredag50" localSheetId="57">[1]Kalenderår!$H$51</definedName>
    <definedName name="Fredag50" localSheetId="59">[1]Kalenderår!$H$51</definedName>
    <definedName name="Fredag50">Kalenderår!$H$51</definedName>
    <definedName name="Fredag51" localSheetId="58">[1]Kalenderår!$H$52</definedName>
    <definedName name="Fredag51" localSheetId="57">[1]Kalenderår!$H$52</definedName>
    <definedName name="Fredag51" localSheetId="59">[1]Kalenderår!$H$52</definedName>
    <definedName name="Fredag51">Kalenderår!$H$52</definedName>
    <definedName name="Fredag52" localSheetId="58">[1]Kalenderår!$H$53</definedName>
    <definedName name="Fredag52" localSheetId="57">[1]Kalenderår!$H$53</definedName>
    <definedName name="Fredag52" localSheetId="59">[1]Kalenderår!$H$53</definedName>
    <definedName name="Fredag52">Kalenderår!$H$53</definedName>
    <definedName name="Fredag53" localSheetId="58">[1]Kalenderår!$H$54</definedName>
    <definedName name="Fredag53" localSheetId="57">[1]Kalenderår!$H$54</definedName>
    <definedName name="Fredag53" localSheetId="59">[1]Kalenderår!$H$54</definedName>
    <definedName name="Fredag53">Kalenderår!$H$54</definedName>
    <definedName name="Fredag6" localSheetId="58">[1]Kalenderår!$H$7</definedName>
    <definedName name="Fredag6" localSheetId="57">[1]Kalenderår!$H$7</definedName>
    <definedName name="Fredag6">Kalenderår!$H$7</definedName>
    <definedName name="Fredag7" localSheetId="58">[1]Kalenderår!$H$8</definedName>
    <definedName name="Fredag7" localSheetId="57">[1]Kalenderår!$H$8</definedName>
    <definedName name="Fredag7">Kalenderår!$H$8</definedName>
    <definedName name="Fredag8" localSheetId="58">[1]Kalenderår!$H$9</definedName>
    <definedName name="Fredag8" localSheetId="57">[1]Kalenderår!$H$9</definedName>
    <definedName name="Fredag8">Kalenderår!$H$9</definedName>
    <definedName name="Fredag9" localSheetId="58">[1]Kalenderår!$H$10</definedName>
    <definedName name="Fredag9" localSheetId="57">[1]Kalenderår!$H$10</definedName>
    <definedName name="Fredag9">Kalenderår!$H$10</definedName>
    <definedName name="Lördag1" localSheetId="58">[1]Kalenderår!$I$2</definedName>
    <definedName name="Lördag1" localSheetId="57">[1]Kalenderår!$I$2</definedName>
    <definedName name="Lördag1">Kalenderår!$I$2</definedName>
    <definedName name="Lördag10" localSheetId="58">[1]Kalenderår!$I$11</definedName>
    <definedName name="Lördag10" localSheetId="57">[1]Kalenderår!$I$11</definedName>
    <definedName name="Lördag10">Kalenderår!$I$11</definedName>
    <definedName name="Lördag11" localSheetId="58">[1]Kalenderår!$I$12</definedName>
    <definedName name="Lördag11" localSheetId="57">[1]Kalenderår!$I$12</definedName>
    <definedName name="Lördag11">Kalenderår!$I$12</definedName>
    <definedName name="Lördag12" localSheetId="58">[1]Kalenderår!$I$13</definedName>
    <definedName name="Lördag12" localSheetId="57">[1]Kalenderår!$I$13</definedName>
    <definedName name="Lördag12">Kalenderår!$I$13</definedName>
    <definedName name="Lördag13" localSheetId="58">[1]Kalenderår!$I$14</definedName>
    <definedName name="Lördag13" localSheetId="57">[1]Kalenderår!$I$14</definedName>
    <definedName name="Lördag13">Kalenderår!$I$14</definedName>
    <definedName name="Lördag14" localSheetId="58">[1]Kalenderår!$I$15</definedName>
    <definedName name="Lördag14" localSheetId="57">[1]Kalenderår!$I$15</definedName>
    <definedName name="Lördag14">Kalenderår!$I$15</definedName>
    <definedName name="Lördag15" localSheetId="58">[1]Kalenderår!$I$16</definedName>
    <definedName name="Lördag15" localSheetId="57">[1]Kalenderår!$I$16</definedName>
    <definedName name="Lördag15">Kalenderår!$I$16</definedName>
    <definedName name="Lördag16" localSheetId="58">[1]Kalenderår!$I$17</definedName>
    <definedName name="Lördag16" localSheetId="57">[1]Kalenderår!$I$17</definedName>
    <definedName name="Lördag16">Kalenderår!$I$17</definedName>
    <definedName name="Lördag17" localSheetId="58">[1]Kalenderår!$I$18</definedName>
    <definedName name="Lördag17" localSheetId="57">[1]Kalenderår!$I$18</definedName>
    <definedName name="Lördag17">Kalenderår!$I$18</definedName>
    <definedName name="Lördag18" localSheetId="58">[1]Kalenderår!$I$19</definedName>
    <definedName name="Lördag18" localSheetId="57">[1]Kalenderår!$I$19</definedName>
    <definedName name="Lördag18">Kalenderår!$I$19</definedName>
    <definedName name="Lördag19" localSheetId="58">[1]Kalenderår!$I$20</definedName>
    <definedName name="Lördag19" localSheetId="57">[1]Kalenderår!$I$20</definedName>
    <definedName name="Lördag19">Kalenderår!$I$20</definedName>
    <definedName name="Lördag2" localSheetId="58">[1]Kalenderår!$I$3</definedName>
    <definedName name="Lördag2" localSheetId="57">[1]Kalenderår!$I$3</definedName>
    <definedName name="Lördag2">Kalenderår!$I$3</definedName>
    <definedName name="Lördag20" localSheetId="58">[1]Kalenderår!$I$21</definedName>
    <definedName name="Lördag20" localSheetId="57">[1]Kalenderår!$I$21</definedName>
    <definedName name="Lördag20">Kalenderår!$I$21</definedName>
    <definedName name="Lördag21" localSheetId="58">[1]Kalenderår!$I$22</definedName>
    <definedName name="Lördag21" localSheetId="57">[1]Kalenderår!$I$22</definedName>
    <definedName name="Lördag21">Kalenderår!$I$22</definedName>
    <definedName name="Lördag22" localSheetId="58">[1]Kalenderår!$I$23</definedName>
    <definedName name="Lördag22" localSheetId="57">[1]Kalenderår!$I$23</definedName>
    <definedName name="Lördag22">Kalenderår!$I$23</definedName>
    <definedName name="Lördag23" localSheetId="58">[1]Kalenderår!$I$24</definedName>
    <definedName name="Lördag23" localSheetId="57">[1]Kalenderår!$I$24</definedName>
    <definedName name="Lördag23">Kalenderår!$I$24</definedName>
    <definedName name="Lördag24" localSheetId="58">[1]Kalenderår!$I$25</definedName>
    <definedName name="Lördag24" localSheetId="57">[1]Kalenderår!$I$25</definedName>
    <definedName name="Lördag24">Kalenderår!$I$25</definedName>
    <definedName name="Lördag25" localSheetId="58">[1]Kalenderår!$I$26</definedName>
    <definedName name="Lördag25" localSheetId="57">[1]Kalenderår!$I$26</definedName>
    <definedName name="Lördag25">Kalenderår!$I$26</definedName>
    <definedName name="Lördag26" localSheetId="58">[1]Kalenderår!$I$27</definedName>
    <definedName name="Lördag26" localSheetId="57">[1]Kalenderår!$I$27</definedName>
    <definedName name="Lördag26">Kalenderår!$I$27</definedName>
    <definedName name="Lördag27" localSheetId="58">[1]Kalenderår!$I$28</definedName>
    <definedName name="Lördag27" localSheetId="57">[1]Kalenderår!$I$28</definedName>
    <definedName name="Lördag27" localSheetId="59">[1]Kalenderår!$I$28</definedName>
    <definedName name="Lördag27">Kalenderår!$I$28</definedName>
    <definedName name="Lördag28" localSheetId="58">[1]Kalenderår!$I$29</definedName>
    <definedName name="Lördag28" localSheetId="57">[1]Kalenderår!$I$29</definedName>
    <definedName name="Lördag28" localSheetId="59">[1]Kalenderår!$I$29</definedName>
    <definedName name="Lördag28">Kalenderår!$I$29</definedName>
    <definedName name="Lördag29" localSheetId="58">[1]Kalenderår!$I$30</definedName>
    <definedName name="Lördag29" localSheetId="57">[1]Kalenderår!$I$30</definedName>
    <definedName name="Lördag29" localSheetId="59">[1]Kalenderår!$I$30</definedName>
    <definedName name="Lördag29">Kalenderår!$I$30</definedName>
    <definedName name="Lördag3" localSheetId="58">[1]Kalenderår!$I$4</definedName>
    <definedName name="Lördag3" localSheetId="57">[1]Kalenderår!$I$4</definedName>
    <definedName name="Lördag3">Kalenderår!$I$4</definedName>
    <definedName name="Lördag30" localSheetId="58">[1]Kalenderår!$I$31</definedName>
    <definedName name="Lördag30" localSheetId="57">[1]Kalenderår!$I$31</definedName>
    <definedName name="Lördag30" localSheetId="59">[1]Kalenderår!$I$31</definedName>
    <definedName name="Lördag30">Kalenderår!$I$31</definedName>
    <definedName name="Lördag31" localSheetId="58">[1]Kalenderår!$I$32</definedName>
    <definedName name="Lördag31" localSheetId="57">[1]Kalenderår!$I$32</definedName>
    <definedName name="Lördag31" localSheetId="59">[1]Kalenderår!$I$32</definedName>
    <definedName name="Lördag31">Kalenderår!$I$32</definedName>
    <definedName name="Lördag32" localSheetId="58">[1]Kalenderår!$I$33</definedName>
    <definedName name="Lördag32" localSheetId="57">[1]Kalenderår!$I$33</definedName>
    <definedName name="Lördag32" localSheetId="59">[1]Kalenderår!$I$33</definedName>
    <definedName name="Lördag32">Kalenderår!$I$33</definedName>
    <definedName name="Lördag33" localSheetId="58">[1]Kalenderår!$I$34</definedName>
    <definedName name="Lördag33" localSheetId="57">[1]Kalenderår!$I$34</definedName>
    <definedName name="Lördag33" localSheetId="59">[1]Kalenderår!$I$34</definedName>
    <definedName name="Lördag33">Kalenderår!$I$34</definedName>
    <definedName name="Lördag34" localSheetId="58">[1]Kalenderår!$I$35</definedName>
    <definedName name="Lördag34" localSheetId="57">[1]Kalenderår!$I$35</definedName>
    <definedName name="Lördag34" localSheetId="59">[1]Kalenderår!$I$35</definedName>
    <definedName name="Lördag34">Kalenderår!$I$35</definedName>
    <definedName name="Lördag35" localSheetId="58">[1]Kalenderår!$I$36</definedName>
    <definedName name="Lördag35" localSheetId="57">[1]Kalenderår!$I$36</definedName>
    <definedName name="Lördag35" localSheetId="59">[1]Kalenderår!$I$36</definedName>
    <definedName name="Lördag35">Kalenderår!$I$36</definedName>
    <definedName name="Lördag36" localSheetId="58">[1]Kalenderår!$I$37</definedName>
    <definedName name="Lördag36" localSheetId="57">[1]Kalenderår!$I$37</definedName>
    <definedName name="Lördag36" localSheetId="59">[1]Kalenderår!$I$37</definedName>
    <definedName name="Lördag36">Kalenderår!$I$37</definedName>
    <definedName name="Lördag37" localSheetId="58">[1]Kalenderår!$I$38</definedName>
    <definedName name="Lördag37" localSheetId="57">[1]Kalenderår!$I$38</definedName>
    <definedName name="Lördag37" localSheetId="59">[1]Kalenderår!$I$38</definedName>
    <definedName name="Lördag37">Kalenderår!$I$38</definedName>
    <definedName name="Lördag38" localSheetId="58">[1]Kalenderår!$I$39</definedName>
    <definedName name="Lördag38" localSheetId="57">[1]Kalenderår!$I$39</definedName>
    <definedName name="Lördag38" localSheetId="59">[1]Kalenderår!$I$39</definedName>
    <definedName name="Lördag38">Kalenderår!$I$39</definedName>
    <definedName name="Lördag39" localSheetId="58">[1]Kalenderår!$I$40</definedName>
    <definedName name="Lördag39" localSheetId="57">[1]Kalenderår!$I$40</definedName>
    <definedName name="Lördag39" localSheetId="59">[1]Kalenderår!$I$40</definedName>
    <definedName name="Lördag39">Kalenderår!$I$40</definedName>
    <definedName name="Lördag4" localSheetId="58">[1]Kalenderår!$I$5</definedName>
    <definedName name="Lördag4" localSheetId="57">[1]Kalenderår!$I$5</definedName>
    <definedName name="Lördag4">Kalenderår!$I$5</definedName>
    <definedName name="Lördag40" localSheetId="58">[1]Kalenderår!$I$41</definedName>
    <definedName name="Lördag40" localSheetId="57">[1]Kalenderår!$I$41</definedName>
    <definedName name="Lördag40" localSheetId="59">[1]Kalenderår!$I$41</definedName>
    <definedName name="Lördag40">Kalenderår!$I$41</definedName>
    <definedName name="Lördag41" localSheetId="58">[1]Kalenderår!$I$42</definedName>
    <definedName name="Lördag41" localSheetId="57">[1]Kalenderår!$I$42</definedName>
    <definedName name="Lördag41" localSheetId="59">[1]Kalenderår!$I$42</definedName>
    <definedName name="Lördag41">Kalenderår!$I$42</definedName>
    <definedName name="Lördag42" localSheetId="58">[1]Kalenderår!$I$43</definedName>
    <definedName name="Lördag42" localSheetId="57">[1]Kalenderår!$I$43</definedName>
    <definedName name="Lördag42" localSheetId="59">[1]Kalenderår!$I$43</definedName>
    <definedName name="Lördag42">Kalenderår!$I$43</definedName>
    <definedName name="Lördag43" localSheetId="58">[1]Kalenderår!$I$44</definedName>
    <definedName name="Lördag43" localSheetId="57">[1]Kalenderår!$I$44</definedName>
    <definedName name="Lördag43" localSheetId="59">[1]Kalenderår!$I$44</definedName>
    <definedName name="Lördag43">Kalenderår!$I$44</definedName>
    <definedName name="Lördag44" localSheetId="58">[1]Kalenderår!$I$45</definedName>
    <definedName name="Lördag44" localSheetId="57">[1]Kalenderår!$I$45</definedName>
    <definedName name="Lördag44" localSheetId="59">[1]Kalenderår!$I$45</definedName>
    <definedName name="Lördag44">Kalenderår!$I$45</definedName>
    <definedName name="Lördag45" localSheetId="58">[1]Kalenderår!$I$46</definedName>
    <definedName name="Lördag45" localSheetId="57">[1]Kalenderår!$I$46</definedName>
    <definedName name="Lördag45" localSheetId="59">[1]Kalenderår!$I$46</definedName>
    <definedName name="Lördag45">Kalenderår!$I$46</definedName>
    <definedName name="Lördag46" localSheetId="58">[1]Kalenderår!$I$47</definedName>
    <definedName name="Lördag46" localSheetId="57">[1]Kalenderår!$I$47</definedName>
    <definedName name="Lördag46" localSheetId="59">[1]Kalenderår!$I$47</definedName>
    <definedName name="Lördag46">Kalenderår!$I$47</definedName>
    <definedName name="Lördag47" localSheetId="58">[1]Kalenderår!$I$48</definedName>
    <definedName name="Lördag47" localSheetId="57">[1]Kalenderår!$I$48</definedName>
    <definedName name="Lördag47" localSheetId="59">[1]Kalenderår!$I$48</definedName>
    <definedName name="Lördag47">Kalenderår!$I$48</definedName>
    <definedName name="Lördag48" localSheetId="58">[1]Kalenderår!$I$49</definedName>
    <definedName name="Lördag48" localSheetId="57">[1]Kalenderår!$I$49</definedName>
    <definedName name="Lördag48" localSheetId="59">[1]Kalenderår!$I$49</definedName>
    <definedName name="Lördag48">Kalenderår!$I$49</definedName>
    <definedName name="Lördag49" localSheetId="58">[1]Kalenderår!$I$50</definedName>
    <definedName name="Lördag49" localSheetId="57">[1]Kalenderår!$I$50</definedName>
    <definedName name="Lördag49" localSheetId="59">[1]Kalenderår!$I$50</definedName>
    <definedName name="Lördag49">Kalenderår!$I$50</definedName>
    <definedName name="Lördag5" localSheetId="58">[1]Kalenderår!$I$6</definedName>
    <definedName name="Lördag5" localSheetId="57">[1]Kalenderår!$I$6</definedName>
    <definedName name="Lördag5">Kalenderår!$I$6</definedName>
    <definedName name="Lördag50" localSheetId="58">[1]Kalenderår!$I$51</definedName>
    <definedName name="Lördag50" localSheetId="57">[1]Kalenderår!$I$51</definedName>
    <definedName name="Lördag50" localSheetId="59">[1]Kalenderår!$I$51</definedName>
    <definedName name="Lördag50">Kalenderår!$I$51</definedName>
    <definedName name="Lördag51" localSheetId="58">[1]Kalenderår!$I$52</definedName>
    <definedName name="Lördag51" localSheetId="57">[1]Kalenderår!$I$52</definedName>
    <definedName name="Lördag51" localSheetId="59">[1]Kalenderår!$I$52</definedName>
    <definedName name="Lördag51">Kalenderår!$I$52</definedName>
    <definedName name="Lördag52" localSheetId="58">[1]Kalenderår!$I$53</definedName>
    <definedName name="Lördag52" localSheetId="57">[1]Kalenderår!$I$53</definedName>
    <definedName name="Lördag52" localSheetId="59">[1]Kalenderår!$I$53</definedName>
    <definedName name="Lördag52">Kalenderår!$I$53</definedName>
    <definedName name="Lördag53" localSheetId="58">[1]Kalenderår!$I$54</definedName>
    <definedName name="Lördag53" localSheetId="57">[1]Kalenderår!$I$54</definedName>
    <definedName name="Lördag53" localSheetId="59">[1]Kalenderår!$I$54</definedName>
    <definedName name="Lördag53">Kalenderår!$I$54</definedName>
    <definedName name="Lördag6" localSheetId="58">[1]Kalenderår!$I$7</definedName>
    <definedName name="Lördag6" localSheetId="57">[1]Kalenderår!$I$7</definedName>
    <definedName name="Lördag6">Kalenderår!$I$7</definedName>
    <definedName name="Lördag7" localSheetId="58">[1]Kalenderår!$I$8</definedName>
    <definedName name="Lördag7" localSheetId="57">[1]Kalenderår!$I$8</definedName>
    <definedName name="Lördag7">Kalenderår!$I$8</definedName>
    <definedName name="Lördag8" localSheetId="58">[1]Kalenderår!$I$9</definedName>
    <definedName name="Lördag8" localSheetId="57">[1]Kalenderår!$I$9</definedName>
    <definedName name="Lördag8">Kalenderår!$I$9</definedName>
    <definedName name="Lördag9" localSheetId="58">[1]Kalenderår!$I$10</definedName>
    <definedName name="Lördag9" localSheetId="57">[1]Kalenderår!$I$10</definedName>
    <definedName name="Lördag9">Kalenderår!$I$10</definedName>
    <definedName name="Måndag1" localSheetId="58">[1]Kalenderår!$D$2</definedName>
    <definedName name="Måndag1" localSheetId="57">[1]Kalenderår!$D$2</definedName>
    <definedName name="Måndag1">Kalenderår!$D$2</definedName>
    <definedName name="Måndag10" localSheetId="58">[1]Kalenderår!$D$11</definedName>
    <definedName name="Måndag10" localSheetId="57">[1]Kalenderår!$D$11</definedName>
    <definedName name="Måndag10">Kalenderår!$D$11</definedName>
    <definedName name="Måndag11" localSheetId="58">[1]Kalenderår!$D$12</definedName>
    <definedName name="Måndag11" localSheetId="57">[1]Kalenderår!$D$12</definedName>
    <definedName name="Måndag11">Kalenderår!$D$12</definedName>
    <definedName name="Måndag12" localSheetId="58">[1]Kalenderår!$D$13</definedName>
    <definedName name="Måndag12" localSheetId="57">[1]Kalenderår!$D$13</definedName>
    <definedName name="Måndag12">Kalenderår!$D$13</definedName>
    <definedName name="Måndag13" localSheetId="58">[1]Kalenderår!$D$14</definedName>
    <definedName name="Måndag13" localSheetId="57">[1]Kalenderår!$D$14</definedName>
    <definedName name="Måndag13">Kalenderår!$D$14</definedName>
    <definedName name="Måndag14" localSheetId="58">[1]Kalenderår!$D$15</definedName>
    <definedName name="Måndag14" localSheetId="57">[1]Kalenderår!$D$15</definedName>
    <definedName name="Måndag14">Kalenderår!$D$15</definedName>
    <definedName name="Måndag15" localSheetId="58">[1]Kalenderår!$D$16</definedName>
    <definedName name="Måndag15" localSheetId="57">[1]Kalenderår!$D$16</definedName>
    <definedName name="Måndag15">Kalenderår!$D$16</definedName>
    <definedName name="Måndag16" localSheetId="58">[1]Kalenderår!$D$17</definedName>
    <definedName name="Måndag16" localSheetId="57">[1]Kalenderår!$D$17</definedName>
    <definedName name="Måndag16">Kalenderår!$D$17</definedName>
    <definedName name="Måndag17" localSheetId="58">[1]Kalenderår!$D$18</definedName>
    <definedName name="Måndag17" localSheetId="57">[1]Kalenderår!$D$18</definedName>
    <definedName name="Måndag17">Kalenderår!$D$18</definedName>
    <definedName name="Måndag18" localSheetId="58">[1]Kalenderår!$D$19</definedName>
    <definedName name="Måndag18" localSheetId="57">[1]Kalenderår!$D$19</definedName>
    <definedName name="Måndag18">Kalenderår!$D$19</definedName>
    <definedName name="Måndag19" localSheetId="58">[1]Kalenderår!$D$20</definedName>
    <definedName name="Måndag19" localSheetId="57">[1]Kalenderår!$D$20</definedName>
    <definedName name="Måndag19">Kalenderår!$D$20</definedName>
    <definedName name="Måndag2" localSheetId="58">[1]Kalenderår!$D$3</definedName>
    <definedName name="Måndag2" localSheetId="57">[1]Kalenderår!$D$3</definedName>
    <definedName name="Måndag2">Kalenderår!$D$3</definedName>
    <definedName name="Måndag20" localSheetId="58">[1]Kalenderår!$D$21</definedName>
    <definedName name="Måndag20" localSheetId="57">[1]Kalenderår!$D$21</definedName>
    <definedName name="Måndag20">Kalenderår!$D$21</definedName>
    <definedName name="Måndag21" localSheetId="58">[1]Kalenderår!$D$22</definedName>
    <definedName name="Måndag21" localSheetId="57">[1]Kalenderår!$D$22</definedName>
    <definedName name="Måndag21">Kalenderår!$D$22</definedName>
    <definedName name="Måndag22" localSheetId="58">[1]Kalenderår!$D$23</definedName>
    <definedName name="Måndag22" localSheetId="57">[1]Kalenderår!$D$23</definedName>
    <definedName name="Måndag22">Kalenderår!$D$23</definedName>
    <definedName name="Måndag23" localSheetId="58">[1]Kalenderår!$D$24</definedName>
    <definedName name="Måndag23" localSheetId="57">[1]Kalenderår!$D$24</definedName>
    <definedName name="Måndag23">Kalenderår!$D$24</definedName>
    <definedName name="Måndag24" localSheetId="58">[1]Kalenderår!$D$25</definedName>
    <definedName name="Måndag24" localSheetId="57">[1]Kalenderår!$D$25</definedName>
    <definedName name="Måndag24">Kalenderår!$D$25</definedName>
    <definedName name="Måndag25" localSheetId="58">[1]Kalenderår!$D$26</definedName>
    <definedName name="Måndag25" localSheetId="57">[1]Kalenderår!$D$26</definedName>
    <definedName name="Måndag25">Kalenderår!$D$26</definedName>
    <definedName name="Måndag26" localSheetId="58">[1]Kalenderår!$D$27</definedName>
    <definedName name="Måndag26" localSheetId="57">[1]Kalenderår!$D$27</definedName>
    <definedName name="Måndag26">Kalenderår!$D$27</definedName>
    <definedName name="Måndag27" localSheetId="58">[1]Kalenderår!$D$28</definedName>
    <definedName name="Måndag27" localSheetId="57">[1]Kalenderår!$D$28</definedName>
    <definedName name="Måndag27" localSheetId="59">[1]Kalenderår!$D$28</definedName>
    <definedName name="Måndag27">Kalenderår!$D$28</definedName>
    <definedName name="Måndag28" localSheetId="58">[1]Kalenderår!$D$29</definedName>
    <definedName name="Måndag28" localSheetId="57">[1]Kalenderår!$D$29</definedName>
    <definedName name="Måndag28" localSheetId="59">[1]Kalenderår!$D$29</definedName>
    <definedName name="Måndag28">Kalenderår!$D$29</definedName>
    <definedName name="Måndag29" localSheetId="58">[1]Kalenderår!$D$30</definedName>
    <definedName name="Måndag29" localSheetId="57">[1]Kalenderår!$D$30</definedName>
    <definedName name="Måndag29" localSheetId="59">[1]Kalenderår!$D$30</definedName>
    <definedName name="Måndag29">Kalenderår!$D$30</definedName>
    <definedName name="Måndag3" localSheetId="58">[1]Kalenderår!$D$4</definedName>
    <definedName name="Måndag3" localSheetId="57">[1]Kalenderår!$D$4</definedName>
    <definedName name="Måndag3">Kalenderår!$D$4</definedName>
    <definedName name="Måndag30" localSheetId="58">[1]Kalenderår!$D$31</definedName>
    <definedName name="Måndag30" localSheetId="57">[1]Kalenderår!$D$31</definedName>
    <definedName name="Måndag30" localSheetId="59">[1]Kalenderår!$D$31</definedName>
    <definedName name="Måndag30">Kalenderår!$D$31</definedName>
    <definedName name="Måndag31" localSheetId="58">[1]Kalenderår!$D$32</definedName>
    <definedName name="Måndag31" localSheetId="57">[1]Kalenderår!$D$32</definedName>
    <definedName name="Måndag31" localSheetId="59">[1]Kalenderår!$D$32</definedName>
    <definedName name="Måndag31">Kalenderår!$D$32</definedName>
    <definedName name="Måndag32" localSheetId="58">[1]Kalenderår!$D$33</definedName>
    <definedName name="Måndag32" localSheetId="57">[1]Kalenderår!$D$33</definedName>
    <definedName name="Måndag32" localSheetId="59">[1]Kalenderår!$D$33</definedName>
    <definedName name="Måndag32">Kalenderår!$D$33</definedName>
    <definedName name="Måndag33" localSheetId="58">[1]Kalenderår!$D$34</definedName>
    <definedName name="Måndag33" localSheetId="57">[1]Kalenderår!$D$34</definedName>
    <definedName name="Måndag33" localSheetId="59">[1]Kalenderår!$D$34</definedName>
    <definedName name="Måndag33">Kalenderår!$D$34</definedName>
    <definedName name="Måndag34" localSheetId="58">[1]Kalenderår!$D$35</definedName>
    <definedName name="Måndag34" localSheetId="57">[1]Kalenderår!$D$35</definedName>
    <definedName name="Måndag34" localSheetId="59">[1]Kalenderår!$D$35</definedName>
    <definedName name="Måndag34">Kalenderår!$D$35</definedName>
    <definedName name="Måndag35" localSheetId="58">[1]Kalenderår!$D$36</definedName>
    <definedName name="Måndag35" localSheetId="57">[1]Kalenderår!$D$36</definedName>
    <definedName name="Måndag35" localSheetId="59">[1]Kalenderår!$D$36</definedName>
    <definedName name="Måndag35">Kalenderår!$D$36</definedName>
    <definedName name="Måndag36" localSheetId="58">[1]Kalenderår!$D$37</definedName>
    <definedName name="Måndag36" localSheetId="57">[1]Kalenderår!$D$37</definedName>
    <definedName name="Måndag36" localSheetId="59">[1]Kalenderår!$D$37</definedName>
    <definedName name="Måndag36">Kalenderår!$D$37</definedName>
    <definedName name="Måndag37" localSheetId="58">[1]Kalenderår!$D$38</definedName>
    <definedName name="Måndag37" localSheetId="57">[1]Kalenderår!$D$38</definedName>
    <definedName name="Måndag37" localSheetId="59">[1]Kalenderår!$D$38</definedName>
    <definedName name="Måndag37">Kalenderår!$D$38</definedName>
    <definedName name="Måndag38" localSheetId="58">[1]Kalenderår!$D$39</definedName>
    <definedName name="Måndag38" localSheetId="57">[1]Kalenderår!$D$39</definedName>
    <definedName name="Måndag38" localSheetId="59">[1]Kalenderår!$D$39</definedName>
    <definedName name="Måndag38">Kalenderår!$D$39</definedName>
    <definedName name="Måndag39" localSheetId="58">[1]Kalenderår!$D$40</definedName>
    <definedName name="Måndag39" localSheetId="57">[1]Kalenderår!$D$40</definedName>
    <definedName name="Måndag39" localSheetId="59">[1]Kalenderår!$D$40</definedName>
    <definedName name="Måndag39">Kalenderår!$D$40</definedName>
    <definedName name="Måndag4" localSheetId="58">[1]Kalenderår!$D$5</definedName>
    <definedName name="Måndag4" localSheetId="57">[1]Kalenderår!$D$5</definedName>
    <definedName name="Måndag4">Kalenderår!$D$5</definedName>
    <definedName name="Måndag40" localSheetId="58">[1]Kalenderår!$D$41</definedName>
    <definedName name="Måndag40" localSheetId="57">[1]Kalenderår!$D$41</definedName>
    <definedName name="Måndag40" localSheetId="59">[1]Kalenderår!$D$41</definedName>
    <definedName name="Måndag40">Kalenderår!$D$41</definedName>
    <definedName name="Måndag41" localSheetId="58">[1]Kalenderår!$D$42</definedName>
    <definedName name="Måndag41" localSheetId="57">[1]Kalenderår!$D$42</definedName>
    <definedName name="Måndag41" localSheetId="59">[1]Kalenderår!$D$42</definedName>
    <definedName name="Måndag41">Kalenderår!$D$42</definedName>
    <definedName name="Måndag42" localSheetId="58">[1]Kalenderår!$D$43</definedName>
    <definedName name="Måndag42" localSheetId="57">[1]Kalenderår!$D$43</definedName>
    <definedName name="Måndag42" localSheetId="59">[1]Kalenderår!$D$43</definedName>
    <definedName name="Måndag42">Kalenderår!$D$43</definedName>
    <definedName name="Måndag43" localSheetId="58">[1]Kalenderår!$D$44</definedName>
    <definedName name="Måndag43" localSheetId="57">[1]Kalenderår!$D$44</definedName>
    <definedName name="Måndag43" localSheetId="59">[1]Kalenderår!$D$44</definedName>
    <definedName name="Måndag43">Kalenderår!$D$44</definedName>
    <definedName name="Måndag44" localSheetId="58">[1]Kalenderår!$D$45</definedName>
    <definedName name="Måndag44" localSheetId="57">[1]Kalenderår!$D$45</definedName>
    <definedName name="Måndag44" localSheetId="59">[1]Kalenderår!$D$45</definedName>
    <definedName name="Måndag44">Kalenderår!$D$45</definedName>
    <definedName name="Måndag45" localSheetId="58">[1]Kalenderår!$D$46</definedName>
    <definedName name="Måndag45" localSheetId="57">[1]Kalenderår!$D$46</definedName>
    <definedName name="Måndag45" localSheetId="59">[1]Kalenderår!$D$46</definedName>
    <definedName name="Måndag45">Kalenderår!$D$46</definedName>
    <definedName name="Måndag46" localSheetId="58">[1]Kalenderår!$D$47</definedName>
    <definedName name="Måndag46" localSheetId="57">[1]Kalenderår!$D$47</definedName>
    <definedName name="Måndag46" localSheetId="59">[1]Kalenderår!$D$47</definedName>
    <definedName name="Måndag46">Kalenderår!$D$47</definedName>
    <definedName name="Måndag47" localSheetId="58">[1]Kalenderår!$D$48</definedName>
    <definedName name="Måndag47" localSheetId="57">[1]Kalenderår!$D$48</definedName>
    <definedName name="Måndag47" localSheetId="59">[1]Kalenderår!$D$48</definedName>
    <definedName name="Måndag47">Kalenderår!$D$48</definedName>
    <definedName name="Måndag48" localSheetId="58">[1]Kalenderår!$D$49</definedName>
    <definedName name="Måndag48" localSheetId="57">[1]Kalenderår!$D$49</definedName>
    <definedName name="Måndag48" localSheetId="59">[1]Kalenderår!$D$49</definedName>
    <definedName name="Måndag48">Kalenderår!$D$49</definedName>
    <definedName name="Måndag49" localSheetId="58">[1]Kalenderår!$D$50</definedName>
    <definedName name="Måndag49" localSheetId="57">[1]Kalenderår!$D$50</definedName>
    <definedName name="Måndag49" localSheetId="59">[1]Kalenderår!$D$50</definedName>
    <definedName name="Måndag49">Kalenderår!$D$50</definedName>
    <definedName name="Måndag5" localSheetId="58">[1]Kalenderår!$D$6</definedName>
    <definedName name="Måndag5" localSheetId="57">[1]Kalenderår!$D$6</definedName>
    <definedName name="Måndag5">Kalenderår!$D$6</definedName>
    <definedName name="Måndag50" localSheetId="58">[1]Kalenderår!$D$51</definedName>
    <definedName name="Måndag50" localSheetId="57">[1]Kalenderår!$D$51</definedName>
    <definedName name="Måndag50" localSheetId="59">[1]Kalenderår!$D$51</definedName>
    <definedName name="Måndag50">Kalenderår!$D$51</definedName>
    <definedName name="Måndag51" localSheetId="58">[1]Kalenderår!$D$52</definedName>
    <definedName name="Måndag51" localSheetId="57">[1]Kalenderår!$D$52</definedName>
    <definedName name="Måndag51" localSheetId="59">[1]Kalenderår!$D$52</definedName>
    <definedName name="Måndag51">Kalenderår!$D$52</definedName>
    <definedName name="Måndag52" localSheetId="58">[1]Kalenderår!$D$53</definedName>
    <definedName name="Måndag52" localSheetId="57">[1]Kalenderår!$D$53</definedName>
    <definedName name="Måndag52" localSheetId="59">[1]Kalenderår!$D$53</definedName>
    <definedName name="Måndag52">Kalenderår!$D$53</definedName>
    <definedName name="Måndag53" localSheetId="58">[1]Kalenderår!$D$54</definedName>
    <definedName name="Måndag53" localSheetId="57">[1]Kalenderår!$D$54</definedName>
    <definedName name="Måndag53" localSheetId="59">[1]Kalenderår!$D$54</definedName>
    <definedName name="Måndag53">Kalenderår!$D$54</definedName>
    <definedName name="Måndag6" localSheetId="58">[1]Kalenderår!$D$7</definedName>
    <definedName name="Måndag6" localSheetId="57">[1]Kalenderår!$D$7</definedName>
    <definedName name="Måndag6">Kalenderår!$D$7</definedName>
    <definedName name="Måndag7" localSheetId="58">[1]Kalenderår!$D$8</definedName>
    <definedName name="Måndag7" localSheetId="57">[1]Kalenderår!$D$8</definedName>
    <definedName name="Måndag7">Kalenderår!$D$8</definedName>
    <definedName name="Måndag8" localSheetId="58">[1]Kalenderår!$D$9</definedName>
    <definedName name="Måndag8" localSheetId="57">[1]Kalenderår!$D$9</definedName>
    <definedName name="Måndag8">Kalenderår!$D$9</definedName>
    <definedName name="Måndag9" localSheetId="58">[1]Kalenderår!$D$10</definedName>
    <definedName name="Måndag9" localSheetId="57">[1]Kalenderår!$D$10</definedName>
    <definedName name="Måndag9">Kalenderår!$D$10</definedName>
    <definedName name="Onsdag1" localSheetId="58">[1]Kalenderår!$F$2</definedName>
    <definedName name="Onsdag1" localSheetId="57">[1]Kalenderår!$F$2</definedName>
    <definedName name="Onsdag1">Kalenderår!$F$2</definedName>
    <definedName name="Onsdag10" localSheetId="58">[1]Kalenderår!$F$11</definedName>
    <definedName name="Onsdag10" localSheetId="57">[1]Kalenderår!$F$11</definedName>
    <definedName name="Onsdag10">Kalenderår!$F$11</definedName>
    <definedName name="Onsdag11" localSheetId="58">[1]Kalenderår!$F$12</definedName>
    <definedName name="Onsdag11" localSheetId="57">[1]Kalenderår!$F$12</definedName>
    <definedName name="Onsdag11">Kalenderår!$F$12</definedName>
    <definedName name="Onsdag12" localSheetId="58">[1]Kalenderår!$F$13</definedName>
    <definedName name="Onsdag12" localSheetId="57">[1]Kalenderår!$F$13</definedName>
    <definedName name="Onsdag12">Kalenderår!$F$13</definedName>
    <definedName name="Onsdag13" localSheetId="58">[1]Kalenderår!$F$14</definedName>
    <definedName name="Onsdag13" localSheetId="57">[1]Kalenderår!$F$14</definedName>
    <definedName name="Onsdag13">Kalenderår!$F$14</definedName>
    <definedName name="Onsdag14" localSheetId="58">[1]Kalenderår!$F$15</definedName>
    <definedName name="Onsdag14" localSheetId="57">[1]Kalenderår!$F$15</definedName>
    <definedName name="Onsdag14">Kalenderår!$F$15</definedName>
    <definedName name="Onsdag15" localSheetId="58">[1]Kalenderår!$F$16</definedName>
    <definedName name="Onsdag15" localSheetId="57">[1]Kalenderår!$F$16</definedName>
    <definedName name="Onsdag15">Kalenderår!$F$16</definedName>
    <definedName name="Onsdag16" localSheetId="58">[1]Kalenderår!$F$17</definedName>
    <definedName name="Onsdag16" localSheetId="57">[1]Kalenderår!$F$17</definedName>
    <definedName name="Onsdag16">Kalenderår!$F$17</definedName>
    <definedName name="Onsdag17" localSheetId="58">[1]Kalenderår!$F$18</definedName>
    <definedName name="Onsdag17" localSheetId="57">[1]Kalenderår!$F$18</definedName>
    <definedName name="Onsdag17">Kalenderår!$F$18</definedName>
    <definedName name="Onsdag18" localSheetId="58">[1]Kalenderår!$F$19</definedName>
    <definedName name="Onsdag18" localSheetId="57">[1]Kalenderår!$F$19</definedName>
    <definedName name="Onsdag18">Kalenderår!$F$19</definedName>
    <definedName name="Onsdag19" localSheetId="58">[1]Kalenderår!$F$20</definedName>
    <definedName name="Onsdag19" localSheetId="57">[1]Kalenderår!$F$20</definedName>
    <definedName name="Onsdag19">Kalenderår!$F$20</definedName>
    <definedName name="Onsdag2" localSheetId="58">[1]Kalenderår!$F$3</definedName>
    <definedName name="Onsdag2" localSheetId="57">[1]Kalenderår!$F$3</definedName>
    <definedName name="Onsdag2">Kalenderår!$F$3</definedName>
    <definedName name="Onsdag20" localSheetId="58">[1]Kalenderår!$F$21</definedName>
    <definedName name="Onsdag20" localSheetId="57">[1]Kalenderår!$F$21</definedName>
    <definedName name="Onsdag20">Kalenderår!$F$21</definedName>
    <definedName name="Onsdag21" localSheetId="58">[1]Kalenderår!$F$22</definedName>
    <definedName name="Onsdag21" localSheetId="57">[1]Kalenderår!$F$22</definedName>
    <definedName name="Onsdag21">Kalenderår!$F$22</definedName>
    <definedName name="Onsdag22" localSheetId="58">[1]Kalenderår!$F$23</definedName>
    <definedName name="Onsdag22" localSheetId="57">[1]Kalenderår!$F$23</definedName>
    <definedName name="Onsdag22">Kalenderår!$F$23</definedName>
    <definedName name="Onsdag23" localSheetId="58">[1]Kalenderår!$F$24</definedName>
    <definedName name="Onsdag23" localSheetId="57">[1]Kalenderår!$F$24</definedName>
    <definedName name="Onsdag23">Kalenderår!$F$24</definedName>
    <definedName name="Onsdag24" localSheetId="58">[1]Kalenderår!$F$25</definedName>
    <definedName name="Onsdag24" localSheetId="57">[1]Kalenderår!$F$25</definedName>
    <definedName name="Onsdag24">Kalenderår!$F$25</definedName>
    <definedName name="Onsdag25" localSheetId="58">[1]Kalenderår!$F$26</definedName>
    <definedName name="Onsdag25" localSheetId="57">[1]Kalenderår!$F$26</definedName>
    <definedName name="Onsdag25">Kalenderår!$F$26</definedName>
    <definedName name="Onsdag26" localSheetId="58">[1]Kalenderår!$F$27</definedName>
    <definedName name="Onsdag26" localSheetId="57">[1]Kalenderår!$F$27</definedName>
    <definedName name="Onsdag26">Kalenderår!$F$27</definedName>
    <definedName name="Onsdag27" localSheetId="58">[1]Kalenderår!$F$28</definedName>
    <definedName name="Onsdag27" localSheetId="57">[1]Kalenderår!$F$28</definedName>
    <definedName name="Onsdag27" localSheetId="59">[1]Kalenderår!$F$28</definedName>
    <definedName name="Onsdag27">Kalenderår!$F$28</definedName>
    <definedName name="Onsdag28" localSheetId="58">[1]Kalenderår!$F$29</definedName>
    <definedName name="Onsdag28" localSheetId="57">[1]Kalenderår!$F$29</definedName>
    <definedName name="Onsdag28" localSheetId="59">[1]Kalenderår!$F$29</definedName>
    <definedName name="Onsdag28">Kalenderår!$F$29</definedName>
    <definedName name="Onsdag29" localSheetId="58">[1]Kalenderår!$F$30</definedName>
    <definedName name="Onsdag29" localSheetId="57">[1]Kalenderår!$F$30</definedName>
    <definedName name="Onsdag29" localSheetId="59">[1]Kalenderår!$F$30</definedName>
    <definedName name="Onsdag29">Kalenderår!$F$30</definedName>
    <definedName name="Onsdag3" localSheetId="58">[1]Kalenderår!$F$4</definedName>
    <definedName name="Onsdag3" localSheetId="57">[1]Kalenderår!$F$4</definedName>
    <definedName name="Onsdag3">Kalenderår!$F$4</definedName>
    <definedName name="Onsdag30" localSheetId="58">[1]Kalenderår!$F$31</definedName>
    <definedName name="Onsdag30" localSheetId="57">[1]Kalenderår!$F$31</definedName>
    <definedName name="Onsdag30" localSheetId="59">[1]Kalenderår!$F$31</definedName>
    <definedName name="Onsdag30">Kalenderår!$F$31</definedName>
    <definedName name="Onsdag31" localSheetId="58">[1]Kalenderår!$F$32</definedName>
    <definedName name="Onsdag31" localSheetId="57">[1]Kalenderår!$F$32</definedName>
    <definedName name="Onsdag31" localSheetId="59">[1]Kalenderår!$F$32</definedName>
    <definedName name="Onsdag31">Kalenderår!$F$32</definedName>
    <definedName name="Onsdag32" localSheetId="58">[1]Kalenderår!$F$33</definedName>
    <definedName name="Onsdag32" localSheetId="57">[1]Kalenderår!$F$33</definedName>
    <definedName name="Onsdag32" localSheetId="59">[1]Kalenderår!$F$33</definedName>
    <definedName name="Onsdag32">Kalenderår!$F$33</definedName>
    <definedName name="Onsdag33" localSheetId="58">[1]Kalenderår!$F$34</definedName>
    <definedName name="Onsdag33" localSheetId="57">[1]Kalenderår!$F$34</definedName>
    <definedName name="Onsdag33" localSheetId="59">[1]Kalenderår!$F$34</definedName>
    <definedName name="Onsdag33">Kalenderår!$F$34</definedName>
    <definedName name="Onsdag34" localSheetId="58">[1]Kalenderår!$F$35</definedName>
    <definedName name="Onsdag34" localSheetId="57">[1]Kalenderår!$F$35</definedName>
    <definedName name="Onsdag34" localSheetId="59">[1]Kalenderår!$F$35</definedName>
    <definedName name="Onsdag34">Kalenderår!$F$35</definedName>
    <definedName name="Onsdag35" localSheetId="58">[1]Kalenderår!$F$36</definedName>
    <definedName name="Onsdag35" localSheetId="57">[1]Kalenderår!$F$36</definedName>
    <definedName name="Onsdag35" localSheetId="59">[1]Kalenderår!$F$36</definedName>
    <definedName name="Onsdag35">Kalenderår!$F$36</definedName>
    <definedName name="Onsdag36" localSheetId="58">[1]Kalenderår!$F$37</definedName>
    <definedName name="Onsdag36" localSheetId="57">[1]Kalenderår!$F$37</definedName>
    <definedName name="Onsdag36" localSheetId="59">[1]Kalenderår!$F$37</definedName>
    <definedName name="Onsdag36">Kalenderår!$F$37</definedName>
    <definedName name="Onsdag37" localSheetId="58">[1]Kalenderår!$F$38</definedName>
    <definedName name="Onsdag37" localSheetId="57">[1]Kalenderår!$F$38</definedName>
    <definedName name="Onsdag37" localSheetId="59">[1]Kalenderår!$F$38</definedName>
    <definedName name="Onsdag37">Kalenderår!$F$38</definedName>
    <definedName name="Onsdag38" localSheetId="58">[1]Kalenderår!$F$39</definedName>
    <definedName name="Onsdag38" localSheetId="57">[1]Kalenderår!$F$39</definedName>
    <definedName name="Onsdag38" localSheetId="59">[1]Kalenderår!$F$39</definedName>
    <definedName name="Onsdag38">Kalenderår!$F$39</definedName>
    <definedName name="Onsdag39" localSheetId="58">[1]Kalenderår!$F$40</definedName>
    <definedName name="Onsdag39" localSheetId="57">[1]Kalenderår!$F$40</definedName>
    <definedName name="Onsdag39" localSheetId="59">[1]Kalenderår!$F$40</definedName>
    <definedName name="Onsdag39">Kalenderår!$F$40</definedName>
    <definedName name="Onsdag4" localSheetId="58">[1]Kalenderår!$F$5</definedName>
    <definedName name="Onsdag4" localSheetId="57">[1]Kalenderår!$F$5</definedName>
    <definedName name="Onsdag4">Kalenderår!$F$5</definedName>
    <definedName name="Onsdag40" localSheetId="58">[1]Kalenderår!$F$41</definedName>
    <definedName name="Onsdag40" localSheetId="57">[1]Kalenderår!$F$41</definedName>
    <definedName name="Onsdag40" localSheetId="59">[1]Kalenderår!$F$41</definedName>
    <definedName name="Onsdag40">Kalenderår!$F$41</definedName>
    <definedName name="Onsdag41" localSheetId="58">[1]Kalenderår!$F$42</definedName>
    <definedName name="Onsdag41" localSheetId="57">[1]Kalenderår!$F$42</definedName>
    <definedName name="Onsdag41" localSheetId="59">[1]Kalenderår!$F$42</definedName>
    <definedName name="Onsdag41">Kalenderår!$F$42</definedName>
    <definedName name="Onsdag42" localSheetId="58">[1]Kalenderår!$F$43</definedName>
    <definedName name="Onsdag42" localSheetId="57">[1]Kalenderår!$F$43</definedName>
    <definedName name="Onsdag42" localSheetId="59">[1]Kalenderår!$F$43</definedName>
    <definedName name="Onsdag42">Kalenderår!$F$43</definedName>
    <definedName name="Onsdag43" localSheetId="58">[1]Kalenderår!$F$44</definedName>
    <definedName name="Onsdag43" localSheetId="57">[1]Kalenderår!$F$44</definedName>
    <definedName name="Onsdag43" localSheetId="59">[1]Kalenderår!$F$44</definedName>
    <definedName name="Onsdag43">Kalenderår!$F$44</definedName>
    <definedName name="Onsdag44" localSheetId="58">[1]Kalenderår!$F$45</definedName>
    <definedName name="Onsdag44" localSheetId="57">[1]Kalenderår!$F$45</definedName>
    <definedName name="Onsdag44" localSheetId="59">[1]Kalenderår!$F$45</definedName>
    <definedName name="Onsdag44">Kalenderår!$F$45</definedName>
    <definedName name="Onsdag45" localSheetId="58">[1]Kalenderår!$F$46</definedName>
    <definedName name="Onsdag45" localSheetId="57">[1]Kalenderår!$F$46</definedName>
    <definedName name="Onsdag45" localSheetId="59">[1]Kalenderår!$F$46</definedName>
    <definedName name="Onsdag45">Kalenderår!$F$46</definedName>
    <definedName name="Onsdag46" localSheetId="58">[1]Kalenderår!$F$47</definedName>
    <definedName name="Onsdag46" localSheetId="57">[1]Kalenderår!$F$47</definedName>
    <definedName name="Onsdag46" localSheetId="59">[1]Kalenderår!$F$47</definedName>
    <definedName name="Onsdag46">Kalenderår!$F$47</definedName>
    <definedName name="Onsdag47" localSheetId="58">[1]Kalenderår!$F$48</definedName>
    <definedName name="Onsdag47" localSheetId="57">[1]Kalenderår!$F$48</definedName>
    <definedName name="Onsdag47" localSheetId="59">[1]Kalenderår!$F$48</definedName>
    <definedName name="Onsdag47">Kalenderår!$F$48</definedName>
    <definedName name="Onsdag48" localSheetId="58">[1]Kalenderår!$F$49</definedName>
    <definedName name="Onsdag48" localSheetId="57">[1]Kalenderår!$F$49</definedName>
    <definedName name="Onsdag48" localSheetId="59">[1]Kalenderår!$F$49</definedName>
    <definedName name="Onsdag48">Kalenderår!$F$49</definedName>
    <definedName name="Onsdag49" localSheetId="58">[1]Kalenderår!$F$50</definedName>
    <definedName name="Onsdag49" localSheetId="57">[1]Kalenderår!$F$50</definedName>
    <definedName name="Onsdag49" localSheetId="59">[1]Kalenderår!$F$50</definedName>
    <definedName name="Onsdag49">Kalenderår!$F$50</definedName>
    <definedName name="Onsdag5" localSheetId="58">[1]Kalenderår!$F$6</definedName>
    <definedName name="Onsdag5" localSheetId="57">[1]Kalenderår!$F$6</definedName>
    <definedName name="Onsdag5">Kalenderår!$F$6</definedName>
    <definedName name="Onsdag50" localSheetId="58">[1]Kalenderår!$F$51</definedName>
    <definedName name="Onsdag50" localSheetId="57">[1]Kalenderår!$F$51</definedName>
    <definedName name="Onsdag50" localSheetId="59">[1]Kalenderår!$F$51</definedName>
    <definedName name="Onsdag50">Kalenderår!$F$51</definedName>
    <definedName name="Onsdag51" localSheetId="58">[1]Kalenderår!$F$52</definedName>
    <definedName name="Onsdag51" localSheetId="57">[1]Kalenderår!$F$52</definedName>
    <definedName name="Onsdag51" localSheetId="59">[1]Kalenderår!$F$52</definedName>
    <definedName name="Onsdag51">Kalenderår!$F$52</definedName>
    <definedName name="Onsdag52" localSheetId="58">[1]Kalenderår!$F$53</definedName>
    <definedName name="Onsdag52" localSheetId="57">[1]Kalenderår!$F$53</definedName>
    <definedName name="Onsdag52" localSheetId="59">[1]Kalenderår!$F$53</definedName>
    <definedName name="Onsdag52">Kalenderår!$F$53</definedName>
    <definedName name="Onsdag53" localSheetId="58">[1]Kalenderår!$F$54</definedName>
    <definedName name="Onsdag53" localSheetId="57">[1]Kalenderår!$F$54</definedName>
    <definedName name="Onsdag53" localSheetId="59">[1]Kalenderår!$F$54</definedName>
    <definedName name="Onsdag53">Kalenderår!$F$54</definedName>
    <definedName name="Onsdag6" localSheetId="58">[1]Kalenderår!$F$7</definedName>
    <definedName name="Onsdag6" localSheetId="57">[1]Kalenderår!$F$7</definedName>
    <definedName name="Onsdag6">Kalenderår!$F$7</definedName>
    <definedName name="Onsdag7" localSheetId="58">[1]Kalenderår!$F$8</definedName>
    <definedName name="Onsdag7" localSheetId="57">[1]Kalenderår!$F$8</definedName>
    <definedName name="Onsdag7">Kalenderår!$F$8</definedName>
    <definedName name="Onsdag8" localSheetId="58">[1]Kalenderår!$F$9</definedName>
    <definedName name="Onsdag8" localSheetId="57">[1]Kalenderår!$F$9</definedName>
    <definedName name="Onsdag8">Kalenderår!$F$9</definedName>
    <definedName name="Onsdag9" localSheetId="58">[1]Kalenderår!$F$10</definedName>
    <definedName name="Onsdag9" localSheetId="57">[1]Kalenderår!$F$10</definedName>
    <definedName name="Onsdag9">Kalenderår!$F$10</definedName>
    <definedName name="Söndag1" localSheetId="58">[1]Kalenderår!$J$2</definedName>
    <definedName name="Söndag1" localSheetId="57">[1]Kalenderår!$J$2</definedName>
    <definedName name="Söndag1">Kalenderår!$J$2</definedName>
    <definedName name="Söndag10" localSheetId="58">[1]Kalenderår!$J$11</definedName>
    <definedName name="Söndag10" localSheetId="57">[1]Kalenderår!$J$11</definedName>
    <definedName name="Söndag10">Kalenderår!$J$11</definedName>
    <definedName name="Söndag11" localSheetId="58">[1]Kalenderår!$J$12</definedName>
    <definedName name="Söndag11" localSheetId="57">[1]Kalenderår!$J$12</definedName>
    <definedName name="Söndag11">Kalenderår!$J$12</definedName>
    <definedName name="Söndag12" localSheetId="58">[1]Kalenderår!$J$13</definedName>
    <definedName name="Söndag12" localSheetId="57">[1]Kalenderår!$J$13</definedName>
    <definedName name="Söndag12">Kalenderår!$J$13</definedName>
    <definedName name="Söndag13" localSheetId="58">[1]Kalenderår!$J$14</definedName>
    <definedName name="Söndag13" localSheetId="57">[1]Kalenderår!$J$14</definedName>
    <definedName name="Söndag13">Kalenderår!$J$14</definedName>
    <definedName name="Söndag14" localSheetId="58">[1]Kalenderår!$J$15</definedName>
    <definedName name="Söndag14" localSheetId="57">[1]Kalenderår!$J$15</definedName>
    <definedName name="Söndag14">Kalenderår!$J$15</definedName>
    <definedName name="Söndag15" localSheetId="58">[1]Kalenderår!$J$16</definedName>
    <definedName name="Söndag15" localSheetId="57">[1]Kalenderår!$J$16</definedName>
    <definedName name="Söndag15">Kalenderår!$J$16</definedName>
    <definedName name="Söndag16" localSheetId="58">[1]Kalenderår!$J$17</definedName>
    <definedName name="Söndag16" localSheetId="57">[1]Kalenderår!$J$17</definedName>
    <definedName name="Söndag16">Kalenderår!$J$17</definedName>
    <definedName name="Söndag17" localSheetId="58">[1]Kalenderår!$J$18</definedName>
    <definedName name="Söndag17" localSheetId="57">[1]Kalenderår!$J$18</definedName>
    <definedName name="Söndag17">Kalenderår!$J$18</definedName>
    <definedName name="Söndag18" localSheetId="58">[1]Kalenderår!$J$19</definedName>
    <definedName name="Söndag18" localSheetId="57">[1]Kalenderår!$J$19</definedName>
    <definedName name="Söndag18">Kalenderår!$J$19</definedName>
    <definedName name="Söndag19" localSheetId="58">[1]Kalenderår!$J$20</definedName>
    <definedName name="Söndag19" localSheetId="57">[1]Kalenderår!$J$20</definedName>
    <definedName name="Söndag19">Kalenderår!$J$20</definedName>
    <definedName name="Söndag2" localSheetId="58">[1]Kalenderår!$J$3</definedName>
    <definedName name="Söndag2" localSheetId="57">[1]Kalenderår!$J$3</definedName>
    <definedName name="Söndag2">Kalenderår!$J$3</definedName>
    <definedName name="Söndag20" localSheetId="58">[1]Kalenderår!$J$21</definedName>
    <definedName name="Söndag20" localSheetId="57">[1]Kalenderår!$J$21</definedName>
    <definedName name="Söndag20">Kalenderår!$J$21</definedName>
    <definedName name="Söndag21" localSheetId="58">[1]Kalenderår!$J$22</definedName>
    <definedName name="Söndag21" localSheetId="57">[1]Kalenderår!$J$22</definedName>
    <definedName name="Söndag21">Kalenderår!$J$22</definedName>
    <definedName name="Söndag22" localSheetId="58">[1]Kalenderår!$J$23</definedName>
    <definedName name="Söndag22" localSheetId="57">[1]Kalenderår!$J$23</definedName>
    <definedName name="Söndag22">Kalenderår!$J$23</definedName>
    <definedName name="Söndag23" localSheetId="58">[1]Kalenderår!$J$24</definedName>
    <definedName name="Söndag23" localSheetId="57">[1]Kalenderår!$J$24</definedName>
    <definedName name="Söndag23">Kalenderår!$J$24</definedName>
    <definedName name="Söndag24" localSheetId="58">[1]Kalenderår!$J$25</definedName>
    <definedName name="Söndag24" localSheetId="57">[1]Kalenderår!$J$25</definedName>
    <definedName name="Söndag24">Kalenderår!$J$25</definedName>
    <definedName name="Söndag25" localSheetId="58">[1]Kalenderår!$J$26</definedName>
    <definedName name="Söndag25" localSheetId="57">[1]Kalenderår!$J$26</definedName>
    <definedName name="Söndag25">Kalenderår!$J$26</definedName>
    <definedName name="Söndag26" localSheetId="58">[1]Kalenderår!$J$27</definedName>
    <definedName name="Söndag26" localSheetId="57">[1]Kalenderår!$J$27</definedName>
    <definedName name="Söndag26">Kalenderår!$J$27</definedName>
    <definedName name="Söndag27" localSheetId="58">[1]Kalenderår!$J$28</definedName>
    <definedName name="Söndag27" localSheetId="57">[1]Kalenderår!$J$28</definedName>
    <definedName name="Söndag27" localSheetId="59">[1]Kalenderår!$J$28</definedName>
    <definedName name="Söndag27">Kalenderår!$J$28</definedName>
    <definedName name="Söndag28" localSheetId="58">[1]Kalenderår!$J$29</definedName>
    <definedName name="Söndag28" localSheetId="57">[1]Kalenderår!$J$29</definedName>
    <definedName name="Söndag28" localSheetId="59">[1]Kalenderår!$J$29</definedName>
    <definedName name="Söndag28">Kalenderår!$J$29</definedName>
    <definedName name="Söndag29" localSheetId="58">[1]Kalenderår!$J$30</definedName>
    <definedName name="Söndag29" localSheetId="57">[1]Kalenderår!$J$30</definedName>
    <definedName name="Söndag29" localSheetId="59">[1]Kalenderår!$J$30</definedName>
    <definedName name="Söndag29">Kalenderår!$J$30</definedName>
    <definedName name="Söndag3" localSheetId="58">[1]Kalenderår!$J$4</definedName>
    <definedName name="Söndag3" localSheetId="57">[1]Kalenderår!$J$4</definedName>
    <definedName name="Söndag3">Kalenderår!$J$4</definedName>
    <definedName name="Söndag30" localSheetId="58">[1]Kalenderår!$J$31</definedName>
    <definedName name="Söndag30" localSheetId="57">[1]Kalenderår!$J$31</definedName>
    <definedName name="Söndag30" localSheetId="59">[1]Kalenderår!$J$31</definedName>
    <definedName name="Söndag30">Kalenderår!$J$31</definedName>
    <definedName name="Söndag31" localSheetId="58">[1]Kalenderår!$J$32</definedName>
    <definedName name="Söndag31" localSheetId="57">[1]Kalenderår!$J$32</definedName>
    <definedName name="Söndag31" localSheetId="59">[1]Kalenderår!$J$32</definedName>
    <definedName name="Söndag31">Kalenderår!$J$32</definedName>
    <definedName name="Söndag32" localSheetId="58">[1]Kalenderår!$J$33</definedName>
    <definedName name="Söndag32" localSheetId="57">[1]Kalenderår!$J$33</definedName>
    <definedName name="Söndag32" localSheetId="59">[1]Kalenderår!$J$33</definedName>
    <definedName name="Söndag32">Kalenderår!$J$33</definedName>
    <definedName name="Söndag33" localSheetId="58">[1]Kalenderår!$J$34</definedName>
    <definedName name="Söndag33" localSheetId="57">[1]Kalenderår!$J$34</definedName>
    <definedName name="Söndag33" localSheetId="59">[1]Kalenderår!$J$34</definedName>
    <definedName name="Söndag33">Kalenderår!$J$34</definedName>
    <definedName name="Söndag34" localSheetId="58">[1]Kalenderår!$J$35</definedName>
    <definedName name="Söndag34" localSheetId="57">[1]Kalenderår!$J$35</definedName>
    <definedName name="Söndag34" localSheetId="59">[1]Kalenderår!$J$35</definedName>
    <definedName name="Söndag34">Kalenderår!$J$35</definedName>
    <definedName name="Söndag35" localSheetId="58">[1]Kalenderår!$J$36</definedName>
    <definedName name="Söndag35" localSheetId="57">[1]Kalenderår!$J$36</definedName>
    <definedName name="Söndag35" localSheetId="59">[1]Kalenderår!$J$36</definedName>
    <definedName name="Söndag35">Kalenderår!$J$36</definedName>
    <definedName name="Söndag36" localSheetId="58">[1]Kalenderår!$J$37</definedName>
    <definedName name="Söndag36" localSheetId="57">[1]Kalenderår!$J$37</definedName>
    <definedName name="Söndag36" localSheetId="59">[1]Kalenderår!$J$37</definedName>
    <definedName name="Söndag36">Kalenderår!$J$37</definedName>
    <definedName name="Söndag37" localSheetId="58">[1]Kalenderår!$J$38</definedName>
    <definedName name="Söndag37" localSheetId="57">[1]Kalenderår!$J$38</definedName>
    <definedName name="Söndag37" localSheetId="59">[1]Kalenderår!$J$38</definedName>
    <definedName name="Söndag37">Kalenderår!$J$38</definedName>
    <definedName name="Söndag38" localSheetId="58">[1]Kalenderår!$J$39</definedName>
    <definedName name="Söndag38" localSheetId="57">[1]Kalenderår!$J$39</definedName>
    <definedName name="Söndag38" localSheetId="59">[1]Kalenderår!$J$39</definedName>
    <definedName name="Söndag38">Kalenderår!$J$39</definedName>
    <definedName name="Söndag39" localSheetId="58">[1]Kalenderår!$J$40</definedName>
    <definedName name="Söndag39" localSheetId="57">[1]Kalenderår!$J$40</definedName>
    <definedName name="Söndag39" localSheetId="59">[1]Kalenderår!$J$40</definedName>
    <definedName name="Söndag39">Kalenderår!$J$40</definedName>
    <definedName name="Söndag4" localSheetId="58">[1]Kalenderår!$J$5</definedName>
    <definedName name="Söndag4" localSheetId="57">[1]Kalenderår!$J$5</definedName>
    <definedName name="Söndag4">Kalenderår!$J$5</definedName>
    <definedName name="Söndag40" localSheetId="58">[1]Kalenderår!$J$41</definedName>
    <definedName name="Söndag40" localSheetId="57">[1]Kalenderår!$J$41</definedName>
    <definedName name="Söndag40" localSheetId="59">[1]Kalenderår!$J$41</definedName>
    <definedName name="Söndag40">Kalenderår!$J$41</definedName>
    <definedName name="Söndag41" localSheetId="58">[1]Kalenderår!$J$42</definedName>
    <definedName name="Söndag41" localSheetId="57">[1]Kalenderår!$J$42</definedName>
    <definedName name="Söndag41" localSheetId="59">[1]Kalenderår!$J$42</definedName>
    <definedName name="Söndag41">Kalenderår!$J$42</definedName>
    <definedName name="Söndag42" localSheetId="58">[1]Kalenderår!$J$43</definedName>
    <definedName name="Söndag42" localSheetId="57">[1]Kalenderår!$J$43</definedName>
    <definedName name="Söndag42" localSheetId="59">[1]Kalenderår!$J$43</definedName>
    <definedName name="Söndag42">Kalenderår!$J$43</definedName>
    <definedName name="Söndag43" localSheetId="58">[1]Kalenderår!$J$44</definedName>
    <definedName name="Söndag43" localSheetId="57">[1]Kalenderår!$J$44</definedName>
    <definedName name="Söndag43" localSheetId="59">[1]Kalenderår!$J$44</definedName>
    <definedName name="Söndag43">Kalenderår!$J$44</definedName>
    <definedName name="Söndag44" localSheetId="58">[1]Kalenderår!$J$45</definedName>
    <definedName name="Söndag44" localSheetId="57">[1]Kalenderår!$J$45</definedName>
    <definedName name="Söndag44" localSheetId="59">[1]Kalenderår!$J$45</definedName>
    <definedName name="Söndag44">Kalenderår!$J$45</definedName>
    <definedName name="Söndag45" localSheetId="58">[1]Kalenderår!$J$46</definedName>
    <definedName name="Söndag45" localSheetId="57">[1]Kalenderår!$J$46</definedName>
    <definedName name="Söndag45" localSheetId="59">[1]Kalenderår!$J$46</definedName>
    <definedName name="Söndag45">Kalenderår!$J$46</definedName>
    <definedName name="Söndag46" localSheetId="58">[1]Kalenderår!$J$47</definedName>
    <definedName name="Söndag46" localSheetId="57">[1]Kalenderår!$J$47</definedName>
    <definedName name="Söndag46" localSheetId="59">[1]Kalenderår!$J$47</definedName>
    <definedName name="Söndag46">Kalenderår!$J$47</definedName>
    <definedName name="Söndag47" localSheetId="58">[1]Kalenderår!$J$48</definedName>
    <definedName name="Söndag47" localSheetId="57">[1]Kalenderår!$J$48</definedName>
    <definedName name="Söndag47" localSheetId="59">[1]Kalenderår!$J$48</definedName>
    <definedName name="Söndag47">Kalenderår!$J$48</definedName>
    <definedName name="Söndag48" localSheetId="58">[1]Kalenderår!$J$49</definedName>
    <definedName name="Söndag48" localSheetId="57">[1]Kalenderår!$J$49</definedName>
    <definedName name="Söndag48" localSheetId="59">[1]Kalenderår!$J$49</definedName>
    <definedName name="Söndag48">Kalenderår!$J$49</definedName>
    <definedName name="Söndag49" localSheetId="58">[1]Kalenderår!$J$50</definedName>
    <definedName name="Söndag49" localSheetId="57">[1]Kalenderår!$J$50</definedName>
    <definedName name="Söndag49" localSheetId="59">[1]Kalenderår!$J$50</definedName>
    <definedName name="Söndag49">Kalenderår!$J$50</definedName>
    <definedName name="Söndag5" localSheetId="58">[1]Kalenderår!$J$6</definedName>
    <definedName name="Söndag5" localSheetId="57">[1]Kalenderår!$J$6</definedName>
    <definedName name="Söndag5">Kalenderår!$J$6</definedName>
    <definedName name="Söndag50" localSheetId="58">[1]Kalenderår!$J$51</definedName>
    <definedName name="Söndag50" localSheetId="57">[1]Kalenderår!$J$51</definedName>
    <definedName name="Söndag50" localSheetId="59">[1]Kalenderår!$J$51</definedName>
    <definedName name="Söndag50">Kalenderår!$J$51</definedName>
    <definedName name="Söndag51" localSheetId="58">[1]Kalenderår!$J$52</definedName>
    <definedName name="Söndag51" localSheetId="57">[1]Kalenderår!$J$52</definedName>
    <definedName name="Söndag51" localSheetId="59">[1]Kalenderår!$J$52</definedName>
    <definedName name="Söndag51">Kalenderår!$J$52</definedName>
    <definedName name="Söndag52" localSheetId="58">[1]Kalenderår!$J$53</definedName>
    <definedName name="Söndag52" localSheetId="57">[1]Kalenderår!$J$53</definedName>
    <definedName name="Söndag52" localSheetId="59">[1]Kalenderår!$J$53</definedName>
    <definedName name="Söndag52">Kalenderår!$J$53</definedName>
    <definedName name="Söndag53" localSheetId="58">[1]Kalenderår!$J$54</definedName>
    <definedName name="Söndag53" localSheetId="57">[1]Kalenderår!$J$54</definedName>
    <definedName name="Söndag53" localSheetId="59">[1]Kalenderår!$J$54</definedName>
    <definedName name="Söndag53">Kalenderår!$J$54</definedName>
    <definedName name="Söndag6" localSheetId="58">[1]Kalenderår!$J$7</definedName>
    <definedName name="Söndag6" localSheetId="57">[1]Kalenderår!$J$7</definedName>
    <definedName name="Söndag6">Kalenderår!$J$7</definedName>
    <definedName name="Söndag7" localSheetId="58">[1]Kalenderår!$J$8</definedName>
    <definedName name="Söndag7" localSheetId="57">[1]Kalenderår!$J$8</definedName>
    <definedName name="Söndag7">Kalenderår!$J$8</definedName>
    <definedName name="Söndag8" localSheetId="58">[1]Kalenderår!$J$9</definedName>
    <definedName name="Söndag8" localSheetId="57">[1]Kalenderår!$J$9</definedName>
    <definedName name="Söndag8">Kalenderår!$J$9</definedName>
    <definedName name="Söndag9" localSheetId="58">[1]Kalenderår!$J$10</definedName>
    <definedName name="Söndag9" localSheetId="57">[1]Kalenderår!$J$10</definedName>
    <definedName name="Söndag9">Kalenderår!$J$10</definedName>
    <definedName name="Tisdag1" localSheetId="58">[1]Kalenderår!$E$2</definedName>
    <definedName name="Tisdag1" localSheetId="57">[1]Kalenderår!$E$2</definedName>
    <definedName name="Tisdag1">Kalenderår!$E$2</definedName>
    <definedName name="Tisdag10" localSheetId="58">[1]Kalenderår!$E$11</definedName>
    <definedName name="Tisdag10" localSheetId="57">[1]Kalenderår!$E$11</definedName>
    <definedName name="Tisdag10">Kalenderår!$E$11</definedName>
    <definedName name="Tisdag11" localSheetId="58">[1]Kalenderår!$E$12</definedName>
    <definedName name="Tisdag11" localSheetId="57">[1]Kalenderår!$E$12</definedName>
    <definedName name="Tisdag11">Kalenderår!$E$12</definedName>
    <definedName name="Tisdag12" localSheetId="58">[1]Kalenderår!$E$13</definedName>
    <definedName name="Tisdag12" localSheetId="57">[1]Kalenderår!$E$13</definedName>
    <definedName name="Tisdag12">Kalenderår!$E$13</definedName>
    <definedName name="Tisdag13" localSheetId="58">[1]Kalenderår!$E$14</definedName>
    <definedName name="Tisdag13" localSheetId="57">[1]Kalenderår!$E$14</definedName>
    <definedName name="Tisdag13">Kalenderår!$E$14</definedName>
    <definedName name="Tisdag14" localSheetId="58">[1]Kalenderår!$E$15</definedName>
    <definedName name="Tisdag14" localSheetId="57">[1]Kalenderår!$E$15</definedName>
    <definedName name="Tisdag14">Kalenderår!$E$15</definedName>
    <definedName name="Tisdag15" localSheetId="58">[1]Kalenderår!$E$16</definedName>
    <definedName name="Tisdag15" localSheetId="57">[1]Kalenderår!$E$16</definedName>
    <definedName name="Tisdag15">Kalenderår!$E$16</definedName>
    <definedName name="Tisdag16" localSheetId="58">[1]Kalenderår!$E$17</definedName>
    <definedName name="Tisdag16" localSheetId="57">[1]Kalenderår!$E$17</definedName>
    <definedName name="Tisdag16">Kalenderår!$E$17</definedName>
    <definedName name="Tisdag17" localSheetId="58">[1]Kalenderår!$E$18</definedName>
    <definedName name="Tisdag17" localSheetId="57">[1]Kalenderår!$E$18</definedName>
    <definedName name="Tisdag17">Kalenderår!$E$18</definedName>
    <definedName name="Tisdag18" localSheetId="58">[1]Kalenderår!$E$19</definedName>
    <definedName name="Tisdag18" localSheetId="57">[1]Kalenderår!$E$19</definedName>
    <definedName name="Tisdag18">Kalenderår!$E$19</definedName>
    <definedName name="Tisdag19" localSheetId="58">[1]Kalenderår!$E$20</definedName>
    <definedName name="Tisdag19" localSheetId="57">[1]Kalenderår!$E$20</definedName>
    <definedName name="Tisdag19">Kalenderår!$E$20</definedName>
    <definedName name="Tisdag2" localSheetId="58">[1]Kalenderår!$E$3</definedName>
    <definedName name="Tisdag2" localSheetId="57">[1]Kalenderår!$E$3</definedName>
    <definedName name="Tisdag2">Kalenderår!$E$3</definedName>
    <definedName name="Tisdag20" localSheetId="58">[1]Kalenderår!$E$21</definedName>
    <definedName name="Tisdag20" localSheetId="57">[1]Kalenderår!$E$21</definedName>
    <definedName name="Tisdag20">Kalenderår!$E$21</definedName>
    <definedName name="Tisdag21" localSheetId="58">[1]Kalenderår!$E$22</definedName>
    <definedName name="Tisdag21" localSheetId="57">[1]Kalenderår!$E$22</definedName>
    <definedName name="Tisdag21">Kalenderår!$E$22</definedName>
    <definedName name="Tisdag22" localSheetId="58">[1]Kalenderår!$E$23</definedName>
    <definedName name="Tisdag22" localSheetId="57">[1]Kalenderår!$E$23</definedName>
    <definedName name="Tisdag22">Kalenderår!$E$23</definedName>
    <definedName name="Tisdag23" localSheetId="58">[1]Kalenderår!$E$24</definedName>
    <definedName name="Tisdag23" localSheetId="57">[1]Kalenderår!$E$24</definedName>
    <definedName name="Tisdag23">Kalenderår!$E$24</definedName>
    <definedName name="Tisdag24" localSheetId="58">[1]Kalenderår!$E$25</definedName>
    <definedName name="Tisdag24" localSheetId="57">[1]Kalenderår!$E$25</definedName>
    <definedName name="Tisdag24">Kalenderår!$E$25</definedName>
    <definedName name="Tisdag25" localSheetId="58">[1]Kalenderår!$E$26</definedName>
    <definedName name="Tisdag25" localSheetId="57">[1]Kalenderår!$E$26</definedName>
    <definedName name="Tisdag25">Kalenderår!$E$26</definedName>
    <definedName name="Tisdag26" localSheetId="58">[1]Kalenderår!$E$27</definedName>
    <definedName name="Tisdag26" localSheetId="57">[1]Kalenderår!$E$27</definedName>
    <definedName name="Tisdag26">Kalenderår!$E$27</definedName>
    <definedName name="Tisdag27" localSheetId="58">[1]Kalenderår!$E$28</definedName>
    <definedName name="Tisdag27" localSheetId="57">[1]Kalenderår!$E$28</definedName>
    <definedName name="Tisdag27" localSheetId="59">[1]Kalenderår!$E$28</definedName>
    <definedName name="Tisdag27">Kalenderår!$E$28</definedName>
    <definedName name="Tisdag28" localSheetId="58">[1]Kalenderår!$E$29</definedName>
    <definedName name="Tisdag28" localSheetId="57">[1]Kalenderår!$E$29</definedName>
    <definedName name="Tisdag28" localSheetId="59">[1]Kalenderår!$E$29</definedName>
    <definedName name="Tisdag28">Kalenderår!$E$29</definedName>
    <definedName name="Tisdag29" localSheetId="58">[1]Kalenderår!$E$30</definedName>
    <definedName name="Tisdag29" localSheetId="57">[1]Kalenderår!$E$30</definedName>
    <definedName name="Tisdag29" localSheetId="59">[1]Kalenderår!$E$30</definedName>
    <definedName name="Tisdag29">Kalenderår!$E$30</definedName>
    <definedName name="Tisdag3" localSheetId="58">[1]Kalenderår!$E$4</definedName>
    <definedName name="Tisdag3" localSheetId="57">[1]Kalenderår!$E$4</definedName>
    <definedName name="Tisdag3">Kalenderår!$E$4</definedName>
    <definedName name="Tisdag30" localSheetId="58">[1]Kalenderår!$E$31</definedName>
    <definedName name="Tisdag30" localSheetId="57">[1]Kalenderår!$E$31</definedName>
    <definedName name="Tisdag30" localSheetId="59">[1]Kalenderår!$E$31</definedName>
    <definedName name="Tisdag30">Kalenderår!$E$31</definedName>
    <definedName name="Tisdag31" localSheetId="58">[1]Kalenderår!$E$32</definedName>
    <definedName name="Tisdag31" localSheetId="57">[1]Kalenderår!$E$32</definedName>
    <definedName name="Tisdag31" localSheetId="59">[1]Kalenderår!$E$32</definedName>
    <definedName name="Tisdag31">Kalenderår!$E$32</definedName>
    <definedName name="Tisdag32" localSheetId="58">[1]Kalenderår!$E$33</definedName>
    <definedName name="Tisdag32" localSheetId="57">[1]Kalenderår!$E$33</definedName>
    <definedName name="Tisdag32" localSheetId="59">[1]Kalenderår!$E$33</definedName>
    <definedName name="Tisdag32">Kalenderår!$E$33</definedName>
    <definedName name="Tisdag33" localSheetId="58">[1]Kalenderår!$E$34</definedName>
    <definedName name="Tisdag33" localSheetId="57">[1]Kalenderår!$E$34</definedName>
    <definedName name="Tisdag33" localSheetId="59">[1]Kalenderår!$E$34</definedName>
    <definedName name="Tisdag33">Kalenderår!$E$34</definedName>
    <definedName name="Tisdag34" localSheetId="58">[1]Kalenderår!$E$35</definedName>
    <definedName name="Tisdag34" localSheetId="57">[1]Kalenderår!$E$35</definedName>
    <definedName name="Tisdag34" localSheetId="59">[1]Kalenderår!$E$35</definedName>
    <definedName name="Tisdag34">Kalenderår!$E$35</definedName>
    <definedName name="Tisdag35" localSheetId="58">[1]Kalenderår!$E$36</definedName>
    <definedName name="Tisdag35" localSheetId="57">[1]Kalenderår!$E$36</definedName>
    <definedName name="Tisdag35" localSheetId="59">[1]Kalenderår!$E$36</definedName>
    <definedName name="Tisdag35">Kalenderår!$E$36</definedName>
    <definedName name="Tisdag36" localSheetId="58">[1]Kalenderår!$E$37</definedName>
    <definedName name="Tisdag36" localSheetId="57">[1]Kalenderår!$E$37</definedName>
    <definedName name="Tisdag36" localSheetId="59">[1]Kalenderår!$E$37</definedName>
    <definedName name="Tisdag36">Kalenderår!$E$37</definedName>
    <definedName name="Tisdag37" localSheetId="58">[1]Kalenderår!$E$38</definedName>
    <definedName name="Tisdag37" localSheetId="57">[1]Kalenderår!$E$38</definedName>
    <definedName name="Tisdag37" localSheetId="59">[1]Kalenderår!$E$38</definedName>
    <definedName name="Tisdag37">Kalenderår!$E$38</definedName>
    <definedName name="Tisdag38" localSheetId="58">[1]Kalenderår!$E$39</definedName>
    <definedName name="Tisdag38" localSheetId="57">[1]Kalenderår!$E$39</definedName>
    <definedName name="Tisdag38" localSheetId="59">[1]Kalenderår!$E$39</definedName>
    <definedName name="Tisdag38">Kalenderår!$E$39</definedName>
    <definedName name="Tisdag39" localSheetId="58">[1]Kalenderår!$E$40</definedName>
    <definedName name="Tisdag39" localSheetId="57">[1]Kalenderår!$E$40</definedName>
    <definedName name="Tisdag39" localSheetId="59">[1]Kalenderår!$E$40</definedName>
    <definedName name="Tisdag39">Kalenderår!$E$40</definedName>
    <definedName name="Tisdag4" localSheetId="58">[1]Kalenderår!$E$5</definedName>
    <definedName name="Tisdag4" localSheetId="57">[1]Kalenderår!$E$5</definedName>
    <definedName name="Tisdag4">Kalenderår!$E$5</definedName>
    <definedName name="Tisdag40" localSheetId="58">[1]Kalenderår!$E$41</definedName>
    <definedName name="Tisdag40" localSheetId="57">[1]Kalenderår!$E$41</definedName>
    <definedName name="Tisdag40" localSheetId="59">[1]Kalenderår!$E$41</definedName>
    <definedName name="Tisdag40">Kalenderår!$E$41</definedName>
    <definedName name="Tisdag41" localSheetId="58">[1]Kalenderår!$E$42</definedName>
    <definedName name="Tisdag41" localSheetId="57">[1]Kalenderår!$E$42</definedName>
    <definedName name="Tisdag41" localSheetId="59">[1]Kalenderår!$E$42</definedName>
    <definedName name="Tisdag41">Kalenderår!$E$42</definedName>
    <definedName name="Tisdag42" localSheetId="58">[1]Kalenderår!$E$43</definedName>
    <definedName name="Tisdag42" localSheetId="57">[1]Kalenderår!$E$43</definedName>
    <definedName name="Tisdag42" localSheetId="59">[1]Kalenderår!$E$43</definedName>
    <definedName name="Tisdag42">Kalenderår!$E$43</definedName>
    <definedName name="Tisdag43" localSheetId="58">[1]Kalenderår!$E$44</definedName>
    <definedName name="Tisdag43" localSheetId="57">[1]Kalenderår!$E$44</definedName>
    <definedName name="Tisdag43" localSheetId="59">[1]Kalenderår!$E$44</definedName>
    <definedName name="Tisdag43">Kalenderår!$E$44</definedName>
    <definedName name="Tisdag44" localSheetId="58">[1]Kalenderår!$E$45</definedName>
    <definedName name="Tisdag44" localSheetId="57">[1]Kalenderår!$E$45</definedName>
    <definedName name="Tisdag44" localSheetId="59">[1]Kalenderår!$E$45</definedName>
    <definedName name="Tisdag44">Kalenderår!$E$45</definedName>
    <definedName name="Tisdag45" localSheetId="58">[1]Kalenderår!$E$46</definedName>
    <definedName name="Tisdag45" localSheetId="57">[1]Kalenderår!$E$46</definedName>
    <definedName name="Tisdag45" localSheetId="59">[1]Kalenderår!$E$46</definedName>
    <definedName name="Tisdag45">Kalenderår!$E$46</definedName>
    <definedName name="Tisdag46" localSheetId="58">[1]Kalenderår!$E$47</definedName>
    <definedName name="Tisdag46" localSheetId="57">[1]Kalenderår!$E$47</definedName>
    <definedName name="Tisdag46" localSheetId="59">[1]Kalenderår!$E$47</definedName>
    <definedName name="Tisdag46">Kalenderår!$E$47</definedName>
    <definedName name="Tisdag47" localSheetId="58">[1]Kalenderår!$E$48</definedName>
    <definedName name="Tisdag47" localSheetId="57">[1]Kalenderår!$E$48</definedName>
    <definedName name="Tisdag47" localSheetId="59">[1]Kalenderår!$E$48</definedName>
    <definedName name="Tisdag47">Kalenderår!$E$48</definedName>
    <definedName name="Tisdag48" localSheetId="58">[1]Kalenderår!$E$49</definedName>
    <definedName name="Tisdag48" localSheetId="57">[1]Kalenderår!$E$49</definedName>
    <definedName name="Tisdag48" localSheetId="59">[1]Kalenderår!$E$49</definedName>
    <definedName name="Tisdag48">Kalenderår!$E$49</definedName>
    <definedName name="Tisdag49" localSheetId="58">[1]Kalenderår!$E$50</definedName>
    <definedName name="Tisdag49" localSheetId="57">[1]Kalenderår!$E$50</definedName>
    <definedName name="Tisdag49" localSheetId="59">[1]Kalenderår!$E$50</definedName>
    <definedName name="Tisdag49">Kalenderår!$E$50</definedName>
    <definedName name="Tisdag5" localSheetId="58">[1]Kalenderår!$E$6</definedName>
    <definedName name="Tisdag5" localSheetId="57">[1]Kalenderår!$E$6</definedName>
    <definedName name="Tisdag5">Kalenderår!$E$6</definedName>
    <definedName name="Tisdag50" localSheetId="58">[1]Kalenderår!$E$51</definedName>
    <definedName name="Tisdag50" localSheetId="57">[1]Kalenderår!$E$51</definedName>
    <definedName name="Tisdag50" localSheetId="59">[1]Kalenderår!$E$51</definedName>
    <definedName name="Tisdag50">Kalenderår!$E$51</definedName>
    <definedName name="Tisdag51" localSheetId="58">[1]Kalenderår!$E$52</definedName>
    <definedName name="Tisdag51" localSheetId="57">[1]Kalenderår!$E$52</definedName>
    <definedName name="Tisdag51" localSheetId="59">[1]Kalenderår!$E$52</definedName>
    <definedName name="Tisdag51">Kalenderår!$E$52</definedName>
    <definedName name="Tisdag52" localSheetId="58">[1]Kalenderår!$E$53</definedName>
    <definedName name="Tisdag52" localSheetId="57">[1]Kalenderår!$E$53</definedName>
    <definedName name="Tisdag52" localSheetId="59">[1]Kalenderår!$E$53</definedName>
    <definedName name="Tisdag52">Kalenderår!$E$53</definedName>
    <definedName name="Tisdag53" localSheetId="58">[1]Kalenderår!$E$54</definedName>
    <definedName name="Tisdag53" localSheetId="57">[1]Kalenderår!$E$54</definedName>
    <definedName name="Tisdag53" localSheetId="59">[1]Kalenderår!$E$54</definedName>
    <definedName name="Tisdag53">Kalenderår!$E$54</definedName>
    <definedName name="Tisdag6" localSheetId="58">[1]Kalenderår!$E$7</definedName>
    <definedName name="Tisdag6" localSheetId="57">[1]Kalenderår!$E$7</definedName>
    <definedName name="Tisdag6">Kalenderår!$E$7</definedName>
    <definedName name="Tisdag7" localSheetId="58">[1]Kalenderår!$E$8</definedName>
    <definedName name="Tisdag7" localSheetId="57">[1]Kalenderår!$E$8</definedName>
    <definedName name="Tisdag7">Kalenderår!$E$8</definedName>
    <definedName name="Tisdag8" localSheetId="58">[1]Kalenderår!$E$9</definedName>
    <definedName name="Tisdag8" localSheetId="57">[1]Kalenderår!$E$9</definedName>
    <definedName name="Tisdag8">Kalenderår!$E$9</definedName>
    <definedName name="Tisdag9" localSheetId="58">[1]Kalenderår!$E$10</definedName>
    <definedName name="Tisdag9" localSheetId="57">[1]Kalenderår!$E$10</definedName>
    <definedName name="Tisdag9">Kalenderår!$E$10</definedName>
    <definedName name="Torsdag1" localSheetId="58">[1]Kalenderår!$G$2</definedName>
    <definedName name="Torsdag1" localSheetId="57">[1]Kalenderår!$G$2</definedName>
    <definedName name="Torsdag1">Kalenderår!$G$2</definedName>
    <definedName name="Torsdag10" localSheetId="58">[1]Kalenderår!$G$11</definedName>
    <definedName name="Torsdag10" localSheetId="57">[1]Kalenderår!$G$11</definedName>
    <definedName name="Torsdag10">Kalenderår!$G$11</definedName>
    <definedName name="Torsdag11" localSheetId="58">[1]Kalenderår!$G$12</definedName>
    <definedName name="Torsdag11" localSheetId="57">[1]Kalenderår!$G$12</definedName>
    <definedName name="Torsdag11">Kalenderår!$G$12</definedName>
    <definedName name="Torsdag12" localSheetId="58">[1]Kalenderår!$G$13</definedName>
    <definedName name="Torsdag12" localSheetId="57">[1]Kalenderår!$G$13</definedName>
    <definedName name="Torsdag12">Kalenderår!$G$13</definedName>
    <definedName name="Torsdag13" localSheetId="58">[1]Kalenderår!$G$14</definedName>
    <definedName name="Torsdag13" localSheetId="57">[1]Kalenderår!$G$14</definedName>
    <definedName name="Torsdag13">Kalenderår!$G$14</definedName>
    <definedName name="Torsdag14" localSheetId="58">[1]Kalenderår!$G$15</definedName>
    <definedName name="Torsdag14" localSheetId="57">[1]Kalenderår!$G$15</definedName>
    <definedName name="Torsdag14">Kalenderår!$G$15</definedName>
    <definedName name="Torsdag15" localSheetId="58">[1]Kalenderår!$G$16</definedName>
    <definedName name="Torsdag15" localSheetId="57">[1]Kalenderår!$G$16</definedName>
    <definedName name="Torsdag15">Kalenderår!$G$16</definedName>
    <definedName name="Torsdag16" localSheetId="58">[1]Kalenderår!$G$17</definedName>
    <definedName name="Torsdag16" localSheetId="57">[1]Kalenderår!$G$17</definedName>
    <definedName name="Torsdag16">Kalenderår!$G$17</definedName>
    <definedName name="Torsdag17" localSheetId="58">[1]Kalenderår!$G$18</definedName>
    <definedName name="Torsdag17" localSheetId="57">[1]Kalenderår!$G$18</definedName>
    <definedName name="Torsdag17">Kalenderår!$G$18</definedName>
    <definedName name="Torsdag18" localSheetId="58">[1]Kalenderår!$G$19</definedName>
    <definedName name="Torsdag18" localSheetId="57">[1]Kalenderår!$G$19</definedName>
    <definedName name="Torsdag18">Kalenderår!$G$19</definedName>
    <definedName name="Torsdag19" localSheetId="58">[1]Kalenderår!$G$20</definedName>
    <definedName name="Torsdag19" localSheetId="57">[1]Kalenderår!$G$20</definedName>
    <definedName name="Torsdag19">Kalenderår!$G$20</definedName>
    <definedName name="Torsdag2" localSheetId="58">[1]Kalenderår!$G$3</definedName>
    <definedName name="Torsdag2" localSheetId="57">[1]Kalenderår!$G$3</definedName>
    <definedName name="Torsdag2">Kalenderår!$G$3</definedName>
    <definedName name="Torsdag20" localSheetId="58">[1]Kalenderår!$G$21</definedName>
    <definedName name="Torsdag20" localSheetId="57">[1]Kalenderår!$G$21</definedName>
    <definedName name="Torsdag20">Kalenderår!$G$21</definedName>
    <definedName name="Torsdag21" localSheetId="58">[1]Kalenderår!$G$22</definedName>
    <definedName name="Torsdag21" localSheetId="57">[1]Kalenderår!$G$22</definedName>
    <definedName name="Torsdag21">Kalenderår!$G$22</definedName>
    <definedName name="Torsdag22" localSheetId="58">[1]Kalenderår!$G$23</definedName>
    <definedName name="Torsdag22" localSheetId="57">[1]Kalenderår!$G$23</definedName>
    <definedName name="Torsdag22">Kalenderår!$G$23</definedName>
    <definedName name="Torsdag23" localSheetId="58">[1]Kalenderår!$G$24</definedName>
    <definedName name="Torsdag23" localSheetId="57">[1]Kalenderår!$G$24</definedName>
    <definedName name="Torsdag23">Kalenderår!$G$24</definedName>
    <definedName name="Torsdag24" localSheetId="58">[1]Kalenderår!$G$25</definedName>
    <definedName name="Torsdag24" localSheetId="57">[1]Kalenderår!$G$25</definedName>
    <definedName name="Torsdag24">Kalenderår!$G$25</definedName>
    <definedName name="Torsdag25" localSheetId="58">[1]Kalenderår!$G$26</definedName>
    <definedName name="Torsdag25" localSheetId="57">[1]Kalenderår!$G$26</definedName>
    <definedName name="Torsdag25">Kalenderår!$G$26</definedName>
    <definedName name="Torsdag26" localSheetId="58">[1]Kalenderår!$G$27</definedName>
    <definedName name="Torsdag26" localSheetId="57">[1]Kalenderår!$G$27</definedName>
    <definedName name="Torsdag26">Kalenderår!$G$27</definedName>
    <definedName name="Torsdag27" localSheetId="58">[1]Kalenderår!$G$28</definedName>
    <definedName name="Torsdag27" localSheetId="57">[1]Kalenderår!$G$28</definedName>
    <definedName name="Torsdag27" localSheetId="59">[1]Kalenderår!$G$28</definedName>
    <definedName name="Torsdag27">Kalenderår!$G$28</definedName>
    <definedName name="Torsdag28" localSheetId="58">[1]Kalenderår!$G$29</definedName>
    <definedName name="Torsdag28" localSheetId="57">[1]Kalenderår!$G$29</definedName>
    <definedName name="Torsdag28" localSheetId="59">[1]Kalenderår!$G$29</definedName>
    <definedName name="Torsdag28">Kalenderår!$G$29</definedName>
    <definedName name="Torsdag29" localSheetId="58">[1]Kalenderår!$G$30</definedName>
    <definedName name="Torsdag29" localSheetId="57">[1]Kalenderår!$G$30</definedName>
    <definedName name="Torsdag29" localSheetId="59">[1]Kalenderår!$G$30</definedName>
    <definedName name="Torsdag29">Kalenderår!$G$30</definedName>
    <definedName name="Torsdag3" localSheetId="58">[1]Kalenderår!$G$4</definedName>
    <definedName name="Torsdag3" localSheetId="57">[1]Kalenderår!$G$4</definedName>
    <definedName name="Torsdag3">Kalenderår!$G$4</definedName>
    <definedName name="Torsdag30" localSheetId="58">[1]Kalenderår!$G$31</definedName>
    <definedName name="Torsdag30" localSheetId="57">[1]Kalenderår!$G$31</definedName>
    <definedName name="Torsdag30" localSheetId="59">[1]Kalenderår!$G$31</definedName>
    <definedName name="Torsdag30">Kalenderår!$G$31</definedName>
    <definedName name="Torsdag31" localSheetId="58">[1]Kalenderår!$G$32</definedName>
    <definedName name="Torsdag31" localSheetId="57">[1]Kalenderår!$G$32</definedName>
    <definedName name="Torsdag31" localSheetId="59">[1]Kalenderår!$G$32</definedName>
    <definedName name="Torsdag31">Kalenderår!$G$32</definedName>
    <definedName name="Torsdag32" localSheetId="58">[1]Kalenderår!$G$33</definedName>
    <definedName name="Torsdag32" localSheetId="57">[1]Kalenderår!$G$33</definedName>
    <definedName name="Torsdag32" localSheetId="59">[1]Kalenderår!$G$33</definedName>
    <definedName name="Torsdag32">Kalenderår!$G$33</definedName>
    <definedName name="Torsdag33" localSheetId="58">[1]Kalenderår!$G$34</definedName>
    <definedName name="Torsdag33" localSheetId="57">[1]Kalenderår!$G$34</definedName>
    <definedName name="Torsdag33" localSheetId="59">[1]Kalenderår!$G$34</definedName>
    <definedName name="Torsdag33">Kalenderår!$G$34</definedName>
    <definedName name="Torsdag34" localSheetId="58">[1]Kalenderår!$G$35</definedName>
    <definedName name="Torsdag34" localSheetId="57">[1]Kalenderår!$G$35</definedName>
    <definedName name="Torsdag34" localSheetId="59">[1]Kalenderår!$G$35</definedName>
    <definedName name="Torsdag34">Kalenderår!$G$35</definedName>
    <definedName name="Torsdag35" localSheetId="58">[1]Kalenderår!$G$36</definedName>
    <definedName name="Torsdag35" localSheetId="57">[1]Kalenderår!$G$36</definedName>
    <definedName name="Torsdag35" localSheetId="59">[1]Kalenderår!$G$36</definedName>
    <definedName name="Torsdag35">Kalenderår!$G$36</definedName>
    <definedName name="Torsdag36" localSheetId="58">[1]Kalenderår!$G$37</definedName>
    <definedName name="Torsdag36" localSheetId="57">[1]Kalenderår!$G$37</definedName>
    <definedName name="Torsdag36" localSheetId="59">[1]Kalenderår!$G$37</definedName>
    <definedName name="Torsdag36">Kalenderår!$G$37</definedName>
    <definedName name="Torsdag37" localSheetId="58">[1]Kalenderår!$G$38</definedName>
    <definedName name="Torsdag37" localSheetId="57">[1]Kalenderår!$G$38</definedName>
    <definedName name="Torsdag37" localSheetId="59">[1]Kalenderår!$G$38</definedName>
    <definedName name="Torsdag37">Kalenderår!$G$38</definedName>
    <definedName name="Torsdag38" localSheetId="58">[1]Kalenderår!$G$39</definedName>
    <definedName name="Torsdag38" localSheetId="57">[1]Kalenderår!$G$39</definedName>
    <definedName name="Torsdag38" localSheetId="59">[1]Kalenderår!$G$39</definedName>
    <definedName name="Torsdag38">Kalenderår!$G$39</definedName>
    <definedName name="Torsdag39" localSheetId="58">[1]Kalenderår!$G$40</definedName>
    <definedName name="Torsdag39" localSheetId="57">[1]Kalenderår!$G$40</definedName>
    <definedName name="Torsdag39" localSheetId="59">[1]Kalenderår!$G$40</definedName>
    <definedName name="Torsdag39">Kalenderår!$G$40</definedName>
    <definedName name="Torsdag4" localSheetId="58">[1]Kalenderår!$G$5</definedName>
    <definedName name="Torsdag4" localSheetId="57">[1]Kalenderår!$G$5</definedName>
    <definedName name="Torsdag4">Kalenderår!$G$5</definedName>
    <definedName name="Torsdag40" localSheetId="58">[1]Kalenderår!$G$41</definedName>
    <definedName name="Torsdag40" localSheetId="57">[1]Kalenderår!$G$41</definedName>
    <definedName name="Torsdag40" localSheetId="59">[1]Kalenderår!$G$41</definedName>
    <definedName name="Torsdag40">Kalenderår!$G$41</definedName>
    <definedName name="Torsdag41" localSheetId="58">[1]Kalenderår!$G$42</definedName>
    <definedName name="Torsdag41" localSheetId="57">[1]Kalenderår!$G$42</definedName>
    <definedName name="Torsdag41" localSheetId="59">[1]Kalenderår!$G$42</definedName>
    <definedName name="Torsdag41">Kalenderår!$G$42</definedName>
    <definedName name="Torsdag42" localSheetId="58">[1]Kalenderår!$G$43</definedName>
    <definedName name="Torsdag42" localSheetId="57">[1]Kalenderår!$G$43</definedName>
    <definedName name="Torsdag42" localSheetId="59">[1]Kalenderår!$G$43</definedName>
    <definedName name="Torsdag42">Kalenderår!$G$43</definedName>
    <definedName name="Torsdag43" localSheetId="58">[1]Kalenderår!$G$44</definedName>
    <definedName name="Torsdag43" localSheetId="57">[1]Kalenderår!$G$44</definedName>
    <definedName name="Torsdag43" localSheetId="59">[1]Kalenderår!$G$44</definedName>
    <definedName name="Torsdag43">Kalenderår!$G$44</definedName>
    <definedName name="Torsdag44" localSheetId="58">[1]Kalenderår!$G$45</definedName>
    <definedName name="Torsdag44" localSheetId="57">[1]Kalenderår!$G$45</definedName>
    <definedName name="Torsdag44" localSheetId="59">[1]Kalenderår!$G$45</definedName>
    <definedName name="Torsdag44">Kalenderår!$G$45</definedName>
    <definedName name="Torsdag45" localSheetId="58">[1]Kalenderår!$G$46</definedName>
    <definedName name="Torsdag45" localSheetId="57">[1]Kalenderår!$G$46</definedName>
    <definedName name="Torsdag45" localSheetId="59">[1]Kalenderår!$G$46</definedName>
    <definedName name="Torsdag45">Kalenderår!$G$46</definedName>
    <definedName name="Torsdag46" localSheetId="58">[1]Kalenderår!$G$47</definedName>
    <definedName name="Torsdag46" localSheetId="57">[1]Kalenderår!$G$47</definedName>
    <definedName name="Torsdag46" localSheetId="59">[1]Kalenderår!$G$47</definedName>
    <definedName name="Torsdag46">Kalenderår!$G$47</definedName>
    <definedName name="Torsdag47" localSheetId="58">[1]Kalenderår!$G$48</definedName>
    <definedName name="Torsdag47" localSheetId="57">[1]Kalenderår!$G$48</definedName>
    <definedName name="Torsdag47" localSheetId="59">[1]Kalenderår!$G$48</definedName>
    <definedName name="Torsdag47">Kalenderår!$G$48</definedName>
    <definedName name="Torsdag48" localSheetId="58">[1]Kalenderår!$G$49</definedName>
    <definedName name="Torsdag48" localSheetId="57">[1]Kalenderår!$G$49</definedName>
    <definedName name="Torsdag48" localSheetId="59">[1]Kalenderår!$G$49</definedName>
    <definedName name="Torsdag48">Kalenderår!$G$49</definedName>
    <definedName name="Torsdag49" localSheetId="58">[1]Kalenderår!$G$50</definedName>
    <definedName name="Torsdag49" localSheetId="57">[1]Kalenderår!$G$50</definedName>
    <definedName name="Torsdag49" localSheetId="59">[1]Kalenderår!$G$50</definedName>
    <definedName name="Torsdag49">Kalenderår!$G$50</definedName>
    <definedName name="Torsdag5" localSheetId="58">[1]Kalenderår!$G$6</definedName>
    <definedName name="Torsdag5" localSheetId="57">[1]Kalenderår!$G$6</definedName>
    <definedName name="Torsdag5">Kalenderår!$G$6</definedName>
    <definedName name="Torsdag50" localSheetId="58">[1]Kalenderår!$G$51</definedName>
    <definedName name="Torsdag50" localSheetId="57">[1]Kalenderår!$G$51</definedName>
    <definedName name="Torsdag50" localSheetId="59">[1]Kalenderår!$G$51</definedName>
    <definedName name="Torsdag50">Kalenderår!$G$51</definedName>
    <definedName name="Torsdag51" localSheetId="58">[1]Kalenderår!$G$52</definedName>
    <definedName name="Torsdag51" localSheetId="57">[1]Kalenderår!$G$52</definedName>
    <definedName name="Torsdag51" localSheetId="59">[1]Kalenderår!$G$52</definedName>
    <definedName name="Torsdag51">Kalenderår!$G$52</definedName>
    <definedName name="Torsdag52" localSheetId="58">[1]Kalenderår!$G$53</definedName>
    <definedName name="Torsdag52" localSheetId="57">[1]Kalenderår!$G$53</definedName>
    <definedName name="Torsdag52" localSheetId="59">[1]Kalenderår!$G$53</definedName>
    <definedName name="Torsdag52">Kalenderår!$G$53</definedName>
    <definedName name="Torsdag53" localSheetId="58">[1]Kalenderår!$G$54</definedName>
    <definedName name="Torsdag53" localSheetId="57">[1]Kalenderår!$G$54</definedName>
    <definedName name="Torsdag53" localSheetId="59">[1]Kalenderår!$G$54</definedName>
    <definedName name="Torsdag53">Kalenderår!$G$54</definedName>
    <definedName name="Torsdag6" localSheetId="58">[1]Kalenderår!$G$7</definedName>
    <definedName name="Torsdag6" localSheetId="57">[1]Kalenderår!$G$7</definedName>
    <definedName name="Torsdag6">Kalenderår!$G$7</definedName>
    <definedName name="Torsdag7" localSheetId="58">[1]Kalenderår!$G$8</definedName>
    <definedName name="Torsdag7" localSheetId="57">[1]Kalenderår!$G$8</definedName>
    <definedName name="Torsdag7">Kalenderår!$G$8</definedName>
    <definedName name="Torsdag8" localSheetId="58">[1]Kalenderår!$G$9</definedName>
    <definedName name="Torsdag8" localSheetId="57">[1]Kalenderår!$G$9</definedName>
    <definedName name="Torsdag8">Kalenderår!$G$9</definedName>
    <definedName name="Torsdag9" localSheetId="58">[1]Kalenderår!$G$10</definedName>
    <definedName name="Torsdag9" localSheetId="57">[1]Kalenderår!$G$10</definedName>
    <definedName name="Torsdag9">Kalenderår!$G$10</definedName>
    <definedName name="_xlnm.Print_Area" localSheetId="35">'V. 36, 1 sep-7 sep'!$A:$G</definedName>
    <definedName name="_xlnm.Print_Area" localSheetId="36">'V. 37, 8 sep-14 sep'!$A:$G</definedName>
    <definedName name="_xlnm.Print_Area" localSheetId="37">'V. 38, 15 sep-21 sep'!$A:$G</definedName>
    <definedName name="_xlnm.Print_Titles" localSheetId="58">'Bokningsbekräftelse HT'!$39:$39</definedName>
    <definedName name="_xlnm.Print_Titles" localSheetId="57">'Bokningsbekräftelse VT'!$39:$39</definedName>
    <definedName name="_xlnm.Print_Titles" localSheetId="59">Fakturamall!$10:$10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1" i="79" l="1"/>
  <c r="BH1" i="79"/>
  <c r="AO1" i="79"/>
  <c r="C8" i="82"/>
  <c r="C7" i="82"/>
  <c r="BT8" i="79" l="1"/>
  <c r="BT3" i="79"/>
  <c r="G40" i="80" l="1"/>
  <c r="F40" i="80"/>
  <c r="H11" i="82"/>
  <c r="G11" i="82"/>
  <c r="F11" i="82"/>
  <c r="E11" i="82"/>
  <c r="A3" i="81"/>
  <c r="I40" i="80"/>
  <c r="H40" i="80"/>
  <c r="E40" i="80"/>
  <c r="D40" i="80"/>
  <c r="C40" i="80"/>
  <c r="B40" i="80"/>
  <c r="A40" i="80"/>
  <c r="A12" i="81"/>
  <c r="A11" i="81"/>
  <c r="A10" i="81"/>
  <c r="A9" i="81"/>
  <c r="A8" i="81"/>
  <c r="A7" i="81"/>
  <c r="A6" i="81"/>
  <c r="C6" i="82" l="1"/>
  <c r="C5" i="82"/>
  <c r="C4" i="82"/>
  <c r="C3" i="82"/>
  <c r="I70" i="81" l="1"/>
  <c r="I71" i="81"/>
  <c r="I72" i="81"/>
  <c r="I73" i="81"/>
  <c r="I74" i="81"/>
  <c r="I75" i="81"/>
  <c r="I76" i="81"/>
  <c r="I77" i="81"/>
  <c r="I78" i="81"/>
  <c r="I79" i="81"/>
  <c r="I80" i="81"/>
  <c r="I81" i="81"/>
  <c r="I82" i="81"/>
  <c r="I83" i="81"/>
  <c r="I84" i="81"/>
  <c r="I85" i="81"/>
  <c r="I86" i="81"/>
  <c r="I87" i="81"/>
  <c r="I88" i="81"/>
  <c r="I89" i="81"/>
  <c r="I90" i="81"/>
  <c r="I91" i="81"/>
  <c r="I92" i="81"/>
  <c r="I93" i="81"/>
  <c r="I94" i="81"/>
  <c r="I95" i="81"/>
  <c r="I96" i="81"/>
  <c r="I97" i="81"/>
  <c r="I98" i="81"/>
  <c r="I99" i="81"/>
  <c r="I100" i="81"/>
  <c r="I101" i="81"/>
  <c r="I102" i="81"/>
  <c r="I103" i="81"/>
  <c r="I104" i="81"/>
  <c r="I105" i="81"/>
  <c r="I106" i="81"/>
  <c r="I107" i="81"/>
  <c r="I108" i="81"/>
  <c r="I109" i="81"/>
  <c r="I110" i="81"/>
  <c r="I111" i="81"/>
  <c r="I112" i="81"/>
  <c r="I113" i="81"/>
  <c r="I114" i="81"/>
  <c r="I115" i="81"/>
  <c r="I116" i="81"/>
  <c r="I117" i="81"/>
  <c r="I118" i="81"/>
  <c r="I119" i="81"/>
  <c r="I120" i="81"/>
  <c r="I121" i="81"/>
  <c r="I122" i="81"/>
  <c r="I123" i="81"/>
  <c r="I124" i="81"/>
  <c r="I125" i="81"/>
  <c r="I126" i="81"/>
  <c r="I127" i="81"/>
  <c r="I128" i="81"/>
  <c r="I129" i="81"/>
  <c r="I130" i="81"/>
  <c r="I131" i="81"/>
  <c r="I132" i="81"/>
  <c r="I133" i="81"/>
  <c r="I134" i="81"/>
  <c r="H70" i="81"/>
  <c r="H71" i="81"/>
  <c r="H72" i="81"/>
  <c r="H73" i="81"/>
  <c r="H74" i="81"/>
  <c r="H75" i="81"/>
  <c r="H76" i="81"/>
  <c r="H77" i="81"/>
  <c r="H78" i="81"/>
  <c r="H79" i="81"/>
  <c r="H80" i="81"/>
  <c r="H81" i="81"/>
  <c r="H82" i="81"/>
  <c r="H83" i="81"/>
  <c r="H84" i="81"/>
  <c r="H85" i="81"/>
  <c r="H86" i="81"/>
  <c r="H87" i="81"/>
  <c r="H88" i="81"/>
  <c r="H89" i="81"/>
  <c r="H90" i="81"/>
  <c r="H91" i="81"/>
  <c r="H92" i="81"/>
  <c r="H93" i="81"/>
  <c r="H94" i="81"/>
  <c r="H95" i="81"/>
  <c r="H96" i="81"/>
  <c r="H97" i="81"/>
  <c r="H98" i="81"/>
  <c r="H99" i="81"/>
  <c r="H100" i="81"/>
  <c r="H101" i="81"/>
  <c r="H102" i="81"/>
  <c r="H103" i="81"/>
  <c r="H104" i="81"/>
  <c r="H105" i="81"/>
  <c r="H106" i="81"/>
  <c r="H107" i="81"/>
  <c r="H108" i="81"/>
  <c r="H109" i="81"/>
  <c r="H110" i="81"/>
  <c r="H111" i="81"/>
  <c r="H112" i="81"/>
  <c r="H113" i="81"/>
  <c r="H114" i="81"/>
  <c r="H115" i="81"/>
  <c r="H116" i="81"/>
  <c r="H117" i="81"/>
  <c r="H118" i="81"/>
  <c r="H119" i="81"/>
  <c r="H120" i="81"/>
  <c r="H121" i="81"/>
  <c r="H122" i="81"/>
  <c r="H123" i="81"/>
  <c r="H124" i="81"/>
  <c r="H125" i="81"/>
  <c r="H126" i="81"/>
  <c r="H127" i="81"/>
  <c r="H128" i="81"/>
  <c r="H129" i="81"/>
  <c r="H130" i="81"/>
  <c r="H131" i="81"/>
  <c r="H132" i="81"/>
  <c r="H133" i="81"/>
  <c r="H134" i="81"/>
  <c r="G70" i="81"/>
  <c r="G71" i="81"/>
  <c r="G72" i="81"/>
  <c r="G73" i="81"/>
  <c r="G74" i="81"/>
  <c r="G75" i="81"/>
  <c r="G76" i="81"/>
  <c r="G77" i="81"/>
  <c r="G78" i="81"/>
  <c r="G79" i="81"/>
  <c r="G80" i="81"/>
  <c r="G81" i="81"/>
  <c r="G82" i="81"/>
  <c r="G83" i="81"/>
  <c r="G84" i="81"/>
  <c r="G85" i="81"/>
  <c r="G86" i="81"/>
  <c r="G87" i="81"/>
  <c r="G88" i="81"/>
  <c r="G89" i="81"/>
  <c r="G90" i="81"/>
  <c r="G91" i="81"/>
  <c r="G92" i="81"/>
  <c r="G93" i="81"/>
  <c r="G94" i="81"/>
  <c r="G95" i="81"/>
  <c r="G96" i="81"/>
  <c r="G97" i="81"/>
  <c r="G98" i="81"/>
  <c r="G99" i="81"/>
  <c r="G100" i="81"/>
  <c r="G101" i="81"/>
  <c r="G102" i="81"/>
  <c r="G103" i="81"/>
  <c r="G104" i="81"/>
  <c r="G105" i="81"/>
  <c r="G106" i="81"/>
  <c r="G107" i="81"/>
  <c r="G108" i="81"/>
  <c r="G109" i="81"/>
  <c r="G110" i="81"/>
  <c r="G111" i="81"/>
  <c r="G112" i="81"/>
  <c r="G113" i="81"/>
  <c r="G114" i="81"/>
  <c r="G115" i="81"/>
  <c r="G116" i="81"/>
  <c r="G117" i="81"/>
  <c r="G118" i="81"/>
  <c r="G119" i="81"/>
  <c r="G120" i="81"/>
  <c r="G121" i="81"/>
  <c r="G122" i="81"/>
  <c r="G123" i="81"/>
  <c r="G124" i="81"/>
  <c r="G125" i="81"/>
  <c r="G126" i="81"/>
  <c r="G127" i="81"/>
  <c r="G128" i="81"/>
  <c r="G129" i="81"/>
  <c r="G130" i="81"/>
  <c r="G131" i="81"/>
  <c r="G132" i="81"/>
  <c r="G133" i="81"/>
  <c r="G134" i="81"/>
  <c r="F70" i="81"/>
  <c r="F71" i="81"/>
  <c r="F72" i="81"/>
  <c r="F73" i="81"/>
  <c r="F74" i="81"/>
  <c r="F75" i="81"/>
  <c r="F76" i="81"/>
  <c r="F77" i="81"/>
  <c r="F78" i="81"/>
  <c r="F79" i="81"/>
  <c r="F80" i="81"/>
  <c r="F81" i="81"/>
  <c r="F82" i="81"/>
  <c r="F83" i="81"/>
  <c r="F84" i="81"/>
  <c r="F85" i="81"/>
  <c r="F86" i="81"/>
  <c r="F87" i="81"/>
  <c r="F88" i="81"/>
  <c r="F89" i="81"/>
  <c r="F90" i="81"/>
  <c r="F91" i="81"/>
  <c r="F92" i="81"/>
  <c r="F93" i="81"/>
  <c r="F94" i="81"/>
  <c r="F95" i="81"/>
  <c r="F96" i="81"/>
  <c r="F97" i="81"/>
  <c r="F98" i="81"/>
  <c r="F99" i="81"/>
  <c r="F100" i="81"/>
  <c r="F101" i="81"/>
  <c r="F102" i="81"/>
  <c r="F103" i="81"/>
  <c r="F104" i="81"/>
  <c r="F105" i="81"/>
  <c r="F106" i="81"/>
  <c r="F107" i="81"/>
  <c r="F108" i="81"/>
  <c r="F109" i="81"/>
  <c r="F110" i="81"/>
  <c r="F111" i="81"/>
  <c r="F112" i="81"/>
  <c r="F113" i="81"/>
  <c r="F114" i="81"/>
  <c r="F115" i="81"/>
  <c r="F116" i="81"/>
  <c r="F117" i="81"/>
  <c r="F118" i="81"/>
  <c r="F119" i="81"/>
  <c r="F120" i="81"/>
  <c r="F121" i="81"/>
  <c r="F122" i="81"/>
  <c r="F123" i="81"/>
  <c r="F124" i="81"/>
  <c r="F125" i="81"/>
  <c r="F126" i="81"/>
  <c r="F127" i="81"/>
  <c r="F128" i="81"/>
  <c r="F129" i="81"/>
  <c r="F130" i="81"/>
  <c r="F131" i="81"/>
  <c r="F132" i="81"/>
  <c r="F133" i="81"/>
  <c r="F134" i="81"/>
  <c r="E70" i="81"/>
  <c r="E71" i="81"/>
  <c r="E72" i="81"/>
  <c r="E73" i="81"/>
  <c r="E74" i="81"/>
  <c r="E75" i="81"/>
  <c r="E76" i="81"/>
  <c r="E77" i="81"/>
  <c r="E78" i="81"/>
  <c r="E79" i="81"/>
  <c r="E80" i="81"/>
  <c r="E81" i="81"/>
  <c r="E82" i="81"/>
  <c r="E83" i="81"/>
  <c r="E84" i="81"/>
  <c r="E85" i="81"/>
  <c r="E86" i="81"/>
  <c r="E87" i="81"/>
  <c r="E88" i="81"/>
  <c r="E89" i="81"/>
  <c r="E90" i="81"/>
  <c r="E91" i="81"/>
  <c r="E92" i="81"/>
  <c r="E93" i="81"/>
  <c r="E94" i="81"/>
  <c r="E95" i="81"/>
  <c r="E96" i="81"/>
  <c r="E97" i="81"/>
  <c r="E98" i="81"/>
  <c r="E99" i="81"/>
  <c r="E100" i="81"/>
  <c r="E101" i="81"/>
  <c r="E102" i="81"/>
  <c r="E103" i="81"/>
  <c r="E104" i="81"/>
  <c r="E105" i="81"/>
  <c r="E106" i="81"/>
  <c r="E107" i="81"/>
  <c r="E108" i="81"/>
  <c r="E109" i="81"/>
  <c r="E110" i="81"/>
  <c r="E111" i="81"/>
  <c r="E112" i="81"/>
  <c r="E113" i="81"/>
  <c r="E114" i="81"/>
  <c r="E115" i="81"/>
  <c r="E116" i="81"/>
  <c r="E117" i="81"/>
  <c r="E118" i="81"/>
  <c r="E119" i="81"/>
  <c r="E120" i="81"/>
  <c r="E121" i="81"/>
  <c r="E122" i="81"/>
  <c r="E123" i="81"/>
  <c r="E124" i="81"/>
  <c r="E125" i="81"/>
  <c r="E126" i="81"/>
  <c r="E127" i="81"/>
  <c r="E128" i="81"/>
  <c r="E129" i="81"/>
  <c r="E130" i="81"/>
  <c r="E131" i="81"/>
  <c r="E132" i="81"/>
  <c r="E133" i="81"/>
  <c r="E134" i="81"/>
  <c r="D70" i="81"/>
  <c r="D71" i="81"/>
  <c r="D72" i="81"/>
  <c r="D73" i="81"/>
  <c r="D74" i="81"/>
  <c r="D75" i="81"/>
  <c r="D76" i="81"/>
  <c r="D77" i="81"/>
  <c r="D78" i="81"/>
  <c r="D79" i="81"/>
  <c r="D80" i="81"/>
  <c r="D81" i="81"/>
  <c r="D82" i="81"/>
  <c r="D83" i="81"/>
  <c r="D84" i="81"/>
  <c r="D85" i="81"/>
  <c r="D86" i="81"/>
  <c r="D87" i="81"/>
  <c r="D88" i="81"/>
  <c r="D89" i="81"/>
  <c r="D90" i="81"/>
  <c r="D91" i="81"/>
  <c r="D92" i="81"/>
  <c r="D93" i="81"/>
  <c r="D94" i="81"/>
  <c r="D95" i="81"/>
  <c r="D96" i="81"/>
  <c r="D97" i="81"/>
  <c r="D98" i="81"/>
  <c r="D99" i="81"/>
  <c r="D100" i="81"/>
  <c r="D101" i="81"/>
  <c r="D102" i="81"/>
  <c r="D103" i="81"/>
  <c r="D104" i="81"/>
  <c r="D105" i="81"/>
  <c r="D106" i="81"/>
  <c r="D107" i="81"/>
  <c r="D108" i="81"/>
  <c r="D109" i="81"/>
  <c r="D110" i="81"/>
  <c r="D111" i="81"/>
  <c r="D112" i="81"/>
  <c r="D113" i="81"/>
  <c r="D114" i="81"/>
  <c r="D115" i="81"/>
  <c r="D116" i="81"/>
  <c r="D117" i="81"/>
  <c r="D118" i="81"/>
  <c r="D119" i="81"/>
  <c r="D120" i="81"/>
  <c r="D121" i="81"/>
  <c r="D122" i="81"/>
  <c r="D123" i="81"/>
  <c r="D124" i="81"/>
  <c r="D125" i="81"/>
  <c r="D126" i="81"/>
  <c r="D127" i="81"/>
  <c r="D128" i="81"/>
  <c r="D129" i="81"/>
  <c r="D130" i="81"/>
  <c r="D131" i="81"/>
  <c r="D132" i="81"/>
  <c r="D133" i="81"/>
  <c r="D134" i="81"/>
  <c r="C70" i="81"/>
  <c r="C71" i="81"/>
  <c r="C72" i="81"/>
  <c r="C73" i="81"/>
  <c r="C74" i="81"/>
  <c r="C75" i="81"/>
  <c r="C76" i="81"/>
  <c r="C77" i="81"/>
  <c r="C78" i="81"/>
  <c r="C79" i="81"/>
  <c r="C80" i="81"/>
  <c r="C81" i="81"/>
  <c r="C82" i="81"/>
  <c r="C83" i="81"/>
  <c r="C84" i="81"/>
  <c r="C85" i="81"/>
  <c r="C86" i="81"/>
  <c r="C87" i="81"/>
  <c r="C88" i="81"/>
  <c r="C89" i="81"/>
  <c r="C90" i="81"/>
  <c r="C91" i="81"/>
  <c r="C92" i="81"/>
  <c r="C93" i="81"/>
  <c r="C94" i="81"/>
  <c r="C95" i="81"/>
  <c r="C96" i="81"/>
  <c r="C97" i="81"/>
  <c r="C98" i="81"/>
  <c r="C99" i="81"/>
  <c r="C100" i="81"/>
  <c r="C101" i="81"/>
  <c r="C102" i="81"/>
  <c r="C103" i="81"/>
  <c r="C104" i="81"/>
  <c r="C105" i="81"/>
  <c r="C106" i="81"/>
  <c r="C107" i="81"/>
  <c r="C108" i="81"/>
  <c r="C109" i="81"/>
  <c r="C110" i="81"/>
  <c r="C111" i="81"/>
  <c r="C112" i="81"/>
  <c r="C113" i="81"/>
  <c r="C114" i="81"/>
  <c r="C115" i="81"/>
  <c r="C116" i="81"/>
  <c r="C117" i="81"/>
  <c r="C118" i="81"/>
  <c r="C119" i="81"/>
  <c r="C120" i="81"/>
  <c r="C121" i="81"/>
  <c r="C122" i="81"/>
  <c r="C123" i="81"/>
  <c r="C124" i="81"/>
  <c r="C125" i="81"/>
  <c r="C126" i="81"/>
  <c r="C127" i="81"/>
  <c r="C128" i="81"/>
  <c r="C129" i="81"/>
  <c r="C130" i="81"/>
  <c r="C131" i="81"/>
  <c r="C132" i="81"/>
  <c r="C133" i="81"/>
  <c r="C134" i="81"/>
  <c r="B70" i="81"/>
  <c r="B71" i="81"/>
  <c r="B72" i="81"/>
  <c r="B73" i="81"/>
  <c r="B74" i="81"/>
  <c r="B75" i="81"/>
  <c r="B76" i="81"/>
  <c r="B77" i="81"/>
  <c r="B78" i="81"/>
  <c r="B79" i="81"/>
  <c r="B80" i="81"/>
  <c r="B81" i="81"/>
  <c r="B82" i="81"/>
  <c r="B83" i="81"/>
  <c r="B84" i="81"/>
  <c r="B85" i="81"/>
  <c r="B86" i="81"/>
  <c r="B87" i="81"/>
  <c r="B88" i="81"/>
  <c r="B89" i="81"/>
  <c r="B90" i="81"/>
  <c r="B91" i="81"/>
  <c r="B92" i="81"/>
  <c r="B93" i="81"/>
  <c r="B94" i="81"/>
  <c r="B95" i="81"/>
  <c r="B96" i="81"/>
  <c r="B97" i="81"/>
  <c r="B98" i="81"/>
  <c r="B99" i="81"/>
  <c r="B100" i="81"/>
  <c r="B101" i="81"/>
  <c r="B102" i="81"/>
  <c r="B103" i="81"/>
  <c r="B104" i="81"/>
  <c r="B105" i="81"/>
  <c r="B106" i="81"/>
  <c r="B107" i="81"/>
  <c r="B108" i="81"/>
  <c r="B109" i="81"/>
  <c r="B110" i="81"/>
  <c r="B111" i="81"/>
  <c r="B112" i="81"/>
  <c r="B113" i="81"/>
  <c r="B114" i="81"/>
  <c r="B115" i="81"/>
  <c r="B116" i="81"/>
  <c r="B117" i="81"/>
  <c r="B118" i="81"/>
  <c r="B119" i="81"/>
  <c r="B120" i="81"/>
  <c r="B121" i="81"/>
  <c r="B122" i="81"/>
  <c r="B123" i="81"/>
  <c r="B124" i="81"/>
  <c r="B125" i="81"/>
  <c r="B126" i="81"/>
  <c r="B127" i="81"/>
  <c r="B128" i="81"/>
  <c r="B129" i="81"/>
  <c r="B130" i="81"/>
  <c r="B131" i="81"/>
  <c r="B132" i="81"/>
  <c r="B133" i="81"/>
  <c r="B134" i="81"/>
  <c r="A134" i="81"/>
  <c r="A133" i="81"/>
  <c r="A132" i="81"/>
  <c r="A131" i="81"/>
  <c r="A130" i="81"/>
  <c r="A129" i="81"/>
  <c r="A128" i="81"/>
  <c r="A127" i="81"/>
  <c r="A126" i="81"/>
  <c r="A125" i="81"/>
  <c r="A124" i="81"/>
  <c r="A123" i="81"/>
  <c r="A122" i="81"/>
  <c r="A121" i="81"/>
  <c r="A120" i="81"/>
  <c r="A119" i="81"/>
  <c r="A118" i="81"/>
  <c r="A117" i="81"/>
  <c r="A116" i="81"/>
  <c r="A115" i="81"/>
  <c r="A114" i="81"/>
  <c r="A113" i="81"/>
  <c r="A112" i="81"/>
  <c r="A111" i="81"/>
  <c r="A110" i="81"/>
  <c r="A109" i="81"/>
  <c r="A108" i="81"/>
  <c r="A107" i="81"/>
  <c r="A106" i="81"/>
  <c r="A105" i="81"/>
  <c r="A104" i="81"/>
  <c r="A103" i="81"/>
  <c r="A102" i="81"/>
  <c r="A101" i="81"/>
  <c r="A100" i="81"/>
  <c r="A99" i="81"/>
  <c r="A98" i="81"/>
  <c r="A97" i="81"/>
  <c r="A96" i="81"/>
  <c r="A95" i="81"/>
  <c r="A94" i="81"/>
  <c r="A93" i="81"/>
  <c r="A92" i="81"/>
  <c r="A91" i="81"/>
  <c r="A90" i="81"/>
  <c r="A89" i="81"/>
  <c r="A88" i="81"/>
  <c r="A87" i="81"/>
  <c r="A86" i="81"/>
  <c r="A85" i="81"/>
  <c r="A84" i="81"/>
  <c r="A83" i="81"/>
  <c r="A82" i="81"/>
  <c r="A81" i="81"/>
  <c r="A80" i="81"/>
  <c r="A79" i="81"/>
  <c r="A78" i="81"/>
  <c r="A77" i="81"/>
  <c r="A76" i="81"/>
  <c r="A75" i="81"/>
  <c r="A74" i="81"/>
  <c r="A73" i="81"/>
  <c r="A72" i="81"/>
  <c r="A71" i="81"/>
  <c r="A70" i="81"/>
  <c r="A1" i="81"/>
  <c r="A3" i="80"/>
  <c r="A7" i="80"/>
  <c r="A105" i="80"/>
  <c r="A106" i="80"/>
  <c r="A107" i="80"/>
  <c r="A108" i="80"/>
  <c r="A109" i="80"/>
  <c r="A110" i="80"/>
  <c r="A111" i="80"/>
  <c r="A112" i="80"/>
  <c r="A113" i="80"/>
  <c r="A114" i="80"/>
  <c r="A115" i="80"/>
  <c r="A116" i="80"/>
  <c r="A117" i="80"/>
  <c r="A118" i="80"/>
  <c r="A119" i="80"/>
  <c r="A120" i="80"/>
  <c r="A121" i="80"/>
  <c r="A122" i="80"/>
  <c r="A123" i="80"/>
  <c r="A124" i="80"/>
  <c r="A125" i="80"/>
  <c r="A126" i="80"/>
  <c r="A127" i="80"/>
  <c r="A128" i="80"/>
  <c r="A129" i="80"/>
  <c r="A130" i="80"/>
  <c r="A131" i="80"/>
  <c r="A132" i="80"/>
  <c r="A133" i="80"/>
  <c r="A134" i="80"/>
  <c r="B105" i="80"/>
  <c r="B106" i="80"/>
  <c r="B107" i="80"/>
  <c r="B108" i="80"/>
  <c r="B109" i="80"/>
  <c r="B110" i="80"/>
  <c r="B111" i="80"/>
  <c r="B112" i="80"/>
  <c r="B113" i="80"/>
  <c r="B114" i="80"/>
  <c r="B115" i="80"/>
  <c r="B116" i="80"/>
  <c r="B117" i="80"/>
  <c r="B118" i="80"/>
  <c r="B119" i="80"/>
  <c r="B120" i="80"/>
  <c r="B121" i="80"/>
  <c r="B122" i="80"/>
  <c r="B123" i="80"/>
  <c r="B124" i="80"/>
  <c r="B125" i="80"/>
  <c r="B126" i="80"/>
  <c r="B127" i="80"/>
  <c r="B128" i="80"/>
  <c r="B129" i="80"/>
  <c r="B130" i="80"/>
  <c r="B131" i="80"/>
  <c r="B132" i="80"/>
  <c r="B133" i="80"/>
  <c r="B134" i="80"/>
  <c r="C105" i="80"/>
  <c r="C106" i="80"/>
  <c r="C107" i="80"/>
  <c r="C108" i="80"/>
  <c r="C109" i="80"/>
  <c r="C110" i="80"/>
  <c r="C111" i="80"/>
  <c r="C112" i="80"/>
  <c r="C113" i="80"/>
  <c r="C114" i="80"/>
  <c r="C115" i="80"/>
  <c r="C116" i="80"/>
  <c r="C117" i="80"/>
  <c r="C118" i="80"/>
  <c r="C119" i="80"/>
  <c r="C120" i="80"/>
  <c r="C121" i="80"/>
  <c r="C122" i="80"/>
  <c r="C123" i="80"/>
  <c r="C124" i="80"/>
  <c r="C125" i="80"/>
  <c r="C126" i="80"/>
  <c r="C127" i="80"/>
  <c r="C128" i="80"/>
  <c r="C129" i="80"/>
  <c r="C130" i="80"/>
  <c r="C131" i="80"/>
  <c r="C132" i="80"/>
  <c r="C133" i="80"/>
  <c r="C134" i="80"/>
  <c r="D105" i="80"/>
  <c r="D106" i="80"/>
  <c r="D107" i="80"/>
  <c r="D108" i="80"/>
  <c r="D109" i="80"/>
  <c r="D110" i="80"/>
  <c r="D111" i="80"/>
  <c r="D112" i="80"/>
  <c r="D113" i="80"/>
  <c r="D114" i="80"/>
  <c r="D115" i="80"/>
  <c r="D116" i="80"/>
  <c r="D117" i="80"/>
  <c r="D118" i="80"/>
  <c r="D119" i="80"/>
  <c r="D120" i="80"/>
  <c r="D121" i="80"/>
  <c r="D122" i="80"/>
  <c r="D123" i="80"/>
  <c r="D124" i="80"/>
  <c r="D125" i="80"/>
  <c r="D126" i="80"/>
  <c r="D127" i="80"/>
  <c r="D128" i="80"/>
  <c r="D129" i="80"/>
  <c r="D130" i="80"/>
  <c r="D131" i="80"/>
  <c r="D132" i="80"/>
  <c r="D133" i="80"/>
  <c r="D134" i="80"/>
  <c r="E105" i="80"/>
  <c r="E106" i="80"/>
  <c r="E107" i="80"/>
  <c r="E108" i="80"/>
  <c r="E109" i="80"/>
  <c r="E110" i="80"/>
  <c r="E111" i="80"/>
  <c r="E112" i="80"/>
  <c r="E113" i="80"/>
  <c r="E114" i="80"/>
  <c r="E115" i="80"/>
  <c r="E116" i="80"/>
  <c r="E117" i="80"/>
  <c r="E118" i="80"/>
  <c r="E119" i="80"/>
  <c r="E120" i="80"/>
  <c r="E121" i="80"/>
  <c r="E122" i="80"/>
  <c r="E123" i="80"/>
  <c r="E124" i="80"/>
  <c r="E125" i="80"/>
  <c r="E126" i="80"/>
  <c r="E127" i="80"/>
  <c r="E128" i="80"/>
  <c r="E129" i="80"/>
  <c r="E130" i="80"/>
  <c r="E131" i="80"/>
  <c r="E132" i="80"/>
  <c r="E133" i="80"/>
  <c r="E134" i="80"/>
  <c r="F105" i="80"/>
  <c r="F106" i="80"/>
  <c r="F107" i="80"/>
  <c r="F108" i="80"/>
  <c r="F109" i="80"/>
  <c r="F110" i="80"/>
  <c r="F111" i="80"/>
  <c r="F112" i="80"/>
  <c r="F113" i="80"/>
  <c r="F114" i="80"/>
  <c r="F115" i="80"/>
  <c r="F116" i="80"/>
  <c r="F117" i="80"/>
  <c r="F118" i="80"/>
  <c r="F119" i="80"/>
  <c r="F120" i="80"/>
  <c r="F121" i="80"/>
  <c r="F122" i="80"/>
  <c r="F123" i="80"/>
  <c r="F124" i="80"/>
  <c r="F125" i="80"/>
  <c r="F126" i="80"/>
  <c r="F127" i="80"/>
  <c r="F128" i="80"/>
  <c r="F129" i="80"/>
  <c r="F130" i="80"/>
  <c r="F131" i="80"/>
  <c r="F132" i="80"/>
  <c r="F133" i="80"/>
  <c r="F134" i="80"/>
  <c r="G105" i="80"/>
  <c r="G106" i="80"/>
  <c r="G107" i="80"/>
  <c r="G108" i="80"/>
  <c r="G109" i="80"/>
  <c r="G110" i="80"/>
  <c r="G111" i="80"/>
  <c r="G112" i="80"/>
  <c r="G113" i="80"/>
  <c r="G114" i="80"/>
  <c r="G115" i="80"/>
  <c r="G116" i="80"/>
  <c r="G117" i="80"/>
  <c r="G118" i="80"/>
  <c r="G119" i="80"/>
  <c r="G120" i="80"/>
  <c r="G121" i="80"/>
  <c r="G122" i="80"/>
  <c r="G123" i="80"/>
  <c r="G124" i="80"/>
  <c r="G125" i="80"/>
  <c r="G126" i="80"/>
  <c r="G127" i="80"/>
  <c r="G128" i="80"/>
  <c r="G129" i="80"/>
  <c r="G130" i="80"/>
  <c r="G131" i="80"/>
  <c r="G132" i="80"/>
  <c r="G133" i="80"/>
  <c r="G134" i="80"/>
  <c r="H105" i="80"/>
  <c r="H106" i="80"/>
  <c r="H107" i="80"/>
  <c r="H108" i="80"/>
  <c r="H109" i="80"/>
  <c r="H110" i="80"/>
  <c r="H111" i="80"/>
  <c r="H112" i="80"/>
  <c r="H113" i="80"/>
  <c r="H114" i="80"/>
  <c r="H115" i="80"/>
  <c r="H116" i="80"/>
  <c r="H117" i="80"/>
  <c r="H118" i="80"/>
  <c r="H119" i="80"/>
  <c r="H120" i="80"/>
  <c r="H121" i="80"/>
  <c r="H122" i="80"/>
  <c r="H123" i="80"/>
  <c r="H124" i="80"/>
  <c r="H125" i="80"/>
  <c r="H126" i="80"/>
  <c r="H127" i="80"/>
  <c r="H128" i="80"/>
  <c r="H129" i="80"/>
  <c r="H130" i="80"/>
  <c r="H131" i="80"/>
  <c r="H132" i="80"/>
  <c r="H133" i="80"/>
  <c r="H134" i="80"/>
  <c r="I105" i="80"/>
  <c r="I106" i="80"/>
  <c r="I107" i="80"/>
  <c r="I108" i="80"/>
  <c r="I109" i="80"/>
  <c r="I110" i="80"/>
  <c r="I111" i="80"/>
  <c r="I112" i="80"/>
  <c r="I113" i="80"/>
  <c r="I114" i="80"/>
  <c r="I115" i="80"/>
  <c r="I116" i="80"/>
  <c r="I117" i="80"/>
  <c r="I118" i="80"/>
  <c r="I119" i="80"/>
  <c r="I120" i="80"/>
  <c r="I121" i="80"/>
  <c r="I122" i="80"/>
  <c r="I123" i="80"/>
  <c r="I124" i="80"/>
  <c r="I125" i="80"/>
  <c r="I126" i="80"/>
  <c r="I127" i="80"/>
  <c r="I128" i="80"/>
  <c r="I129" i="80"/>
  <c r="I130" i="80"/>
  <c r="I131" i="80"/>
  <c r="I132" i="80"/>
  <c r="I133" i="80"/>
  <c r="I134" i="80"/>
  <c r="A12" i="80"/>
  <c r="A11" i="80"/>
  <c r="A10" i="80"/>
  <c r="A9" i="80"/>
  <c r="A8" i="80"/>
  <c r="A6" i="80"/>
  <c r="A1" i="80"/>
  <c r="K115" i="80" l="1"/>
  <c r="L115" i="80" s="1" a="1"/>
  <c r="L115" i="80" s="1"/>
  <c r="J115" i="80" s="1"/>
  <c r="K132" i="81"/>
  <c r="L132" i="81" s="1" a="1"/>
  <c r="L132" i="81" s="1"/>
  <c r="J132" i="81" s="1"/>
  <c r="K124" i="81"/>
  <c r="L124" i="81" s="1" a="1"/>
  <c r="L124" i="81" s="1"/>
  <c r="J124" i="81" s="1"/>
  <c r="K116" i="81"/>
  <c r="L116" i="81" s="1" a="1"/>
  <c r="L116" i="81" s="1"/>
  <c r="J116" i="81" s="1"/>
  <c r="K108" i="81"/>
  <c r="L108" i="81" s="1" a="1"/>
  <c r="L108" i="81" s="1"/>
  <c r="J108" i="81" s="1"/>
  <c r="K100" i="81"/>
  <c r="L100" i="81" s="1" a="1"/>
  <c r="L100" i="81" s="1"/>
  <c r="J100" i="81" s="1"/>
  <c r="K92" i="81"/>
  <c r="L92" i="81" s="1" a="1"/>
  <c r="L92" i="81" s="1"/>
  <c r="J92" i="81" s="1"/>
  <c r="K84" i="81"/>
  <c r="L84" i="81" s="1" a="1"/>
  <c r="L84" i="81" s="1"/>
  <c r="J84" i="81" s="1"/>
  <c r="K76" i="81"/>
  <c r="L76" i="81" s="1" a="1"/>
  <c r="L76" i="81" s="1"/>
  <c r="J76" i="81" s="1"/>
  <c r="K75" i="81"/>
  <c r="L75" i="81" s="1" a="1"/>
  <c r="L75" i="81" s="1"/>
  <c r="J75" i="81" s="1"/>
  <c r="K130" i="81"/>
  <c r="L130" i="81" s="1" a="1"/>
  <c r="L130" i="81" s="1"/>
  <c r="J130" i="81" s="1"/>
  <c r="K88" i="81"/>
  <c r="L88" i="81" s="1" a="1"/>
  <c r="L88" i="81" s="1"/>
  <c r="J88" i="81" s="1"/>
  <c r="K104" i="81"/>
  <c r="L104" i="81" s="1" a="1"/>
  <c r="L104" i="81" s="1"/>
  <c r="J104" i="81" s="1"/>
  <c r="K125" i="81"/>
  <c r="L125" i="81" s="1" a="1"/>
  <c r="L125" i="81" s="1"/>
  <c r="J125" i="81" s="1"/>
  <c r="K128" i="81"/>
  <c r="L128" i="81" s="1" a="1"/>
  <c r="L128" i="81" s="1"/>
  <c r="J128" i="81" s="1"/>
  <c r="K80" i="81"/>
  <c r="L80" i="81" s="1" a="1"/>
  <c r="L80" i="81" s="1"/>
  <c r="J80" i="81" s="1"/>
  <c r="K112" i="81"/>
  <c r="L112" i="81" s="1" a="1"/>
  <c r="L112" i="81" s="1"/>
  <c r="J112" i="81" s="1"/>
  <c r="K118" i="81"/>
  <c r="L118" i="81" s="1" a="1"/>
  <c r="L118" i="81" s="1"/>
  <c r="J118" i="81" s="1"/>
  <c r="K101" i="81"/>
  <c r="L101" i="81" s="1" a="1"/>
  <c r="L101" i="81" s="1"/>
  <c r="J101" i="81" s="1"/>
  <c r="K133" i="80"/>
  <c r="L133" i="80" s="1" a="1"/>
  <c r="L133" i="80" s="1"/>
  <c r="J133" i="80" s="1"/>
  <c r="K122" i="81"/>
  <c r="L122" i="81" s="1" a="1"/>
  <c r="L122" i="81" s="1"/>
  <c r="J122" i="81" s="1"/>
  <c r="K114" i="81"/>
  <c r="L114" i="81" s="1" a="1"/>
  <c r="L114" i="81" s="1"/>
  <c r="J114" i="81" s="1"/>
  <c r="K106" i="81"/>
  <c r="L106" i="81" s="1" a="1"/>
  <c r="L106" i="81" s="1"/>
  <c r="J106" i="81" s="1"/>
  <c r="K98" i="81"/>
  <c r="L98" i="81" s="1" a="1"/>
  <c r="L98" i="81" s="1"/>
  <c r="J98" i="81" s="1"/>
  <c r="K90" i="81"/>
  <c r="L90" i="81" s="1" a="1"/>
  <c r="L90" i="81" s="1"/>
  <c r="J90" i="81" s="1"/>
  <c r="K82" i="81"/>
  <c r="L82" i="81" s="1" a="1"/>
  <c r="L82" i="81" s="1"/>
  <c r="J82" i="81" s="1"/>
  <c r="K74" i="81"/>
  <c r="L74" i="81" s="1" a="1"/>
  <c r="L74" i="81" s="1"/>
  <c r="J74" i="81" s="1"/>
  <c r="K121" i="81"/>
  <c r="L121" i="81" s="1" a="1"/>
  <c r="L121" i="81" s="1"/>
  <c r="J121" i="81" s="1"/>
  <c r="K113" i="81"/>
  <c r="L113" i="81" s="1" a="1"/>
  <c r="L113" i="81" s="1"/>
  <c r="J113" i="81" s="1"/>
  <c r="K105" i="81"/>
  <c r="L105" i="81" s="1" a="1"/>
  <c r="L105" i="81" s="1"/>
  <c r="J105" i="81" s="1"/>
  <c r="K97" i="81"/>
  <c r="L97" i="81" s="1" a="1"/>
  <c r="L97" i="81" s="1"/>
  <c r="J97" i="81" s="1"/>
  <c r="K89" i="81"/>
  <c r="L89" i="81" s="1" a="1"/>
  <c r="L89" i="81" s="1"/>
  <c r="J89" i="81" s="1"/>
  <c r="K81" i="81"/>
  <c r="L81" i="81" s="1" a="1"/>
  <c r="L81" i="81" s="1"/>
  <c r="J81" i="81" s="1"/>
  <c r="K73" i="81"/>
  <c r="L73" i="81" s="1" a="1"/>
  <c r="L73" i="81" s="1"/>
  <c r="J73" i="81" s="1"/>
  <c r="K96" i="81"/>
  <c r="L96" i="81" s="1" a="1"/>
  <c r="L96" i="81" s="1"/>
  <c r="J96" i="81" s="1"/>
  <c r="K72" i="81"/>
  <c r="L72" i="81" s="1" a="1"/>
  <c r="L72" i="81" s="1"/>
  <c r="J72" i="81" s="1"/>
  <c r="K133" i="81"/>
  <c r="L133" i="81" s="1" a="1"/>
  <c r="L133" i="81" s="1"/>
  <c r="J133" i="81" s="1"/>
  <c r="K117" i="81"/>
  <c r="L117" i="81" s="1" a="1"/>
  <c r="L117" i="81" s="1"/>
  <c r="J117" i="81" s="1"/>
  <c r="K131" i="81"/>
  <c r="L131" i="81" s="1" a="1"/>
  <c r="L131" i="81" s="1"/>
  <c r="J131" i="81" s="1"/>
  <c r="K123" i="81"/>
  <c r="L123" i="81" s="1" a="1"/>
  <c r="L123" i="81" s="1"/>
  <c r="J123" i="81" s="1"/>
  <c r="K115" i="81"/>
  <c r="L115" i="81" s="1" a="1"/>
  <c r="L115" i="81" s="1"/>
  <c r="J115" i="81" s="1"/>
  <c r="K107" i="81"/>
  <c r="L107" i="81" s="1" a="1"/>
  <c r="L107" i="81" s="1"/>
  <c r="J107" i="81" s="1"/>
  <c r="K99" i="81"/>
  <c r="L99" i="81" s="1" a="1"/>
  <c r="L99" i="81" s="1"/>
  <c r="J99" i="81" s="1"/>
  <c r="K91" i="81"/>
  <c r="L91" i="81" s="1" a="1"/>
  <c r="L91" i="81" s="1"/>
  <c r="J91" i="81" s="1"/>
  <c r="K83" i="81"/>
  <c r="L83" i="81" s="1" a="1"/>
  <c r="L83" i="81" s="1"/>
  <c r="J83" i="81" s="1"/>
  <c r="K134" i="80"/>
  <c r="L134" i="80" s="1" a="1"/>
  <c r="L134" i="80" s="1"/>
  <c r="J134" i="80" s="1"/>
  <c r="K129" i="81"/>
  <c r="L129" i="81" s="1" a="1"/>
  <c r="L129" i="81" s="1"/>
  <c r="J129" i="81" s="1"/>
  <c r="K124" i="80"/>
  <c r="L124" i="80" s="1" a="1"/>
  <c r="L124" i="80" s="1"/>
  <c r="J124" i="80" s="1"/>
  <c r="K116" i="80"/>
  <c r="L116" i="80" s="1" a="1"/>
  <c r="L116" i="80" s="1"/>
  <c r="J116" i="80" s="1"/>
  <c r="K109" i="81"/>
  <c r="L109" i="81" s="1" a="1"/>
  <c r="L109" i="81" s="1"/>
  <c r="J109" i="81" s="1"/>
  <c r="K132" i="80"/>
  <c r="L132" i="80" s="1" a="1"/>
  <c r="L132" i="80" s="1"/>
  <c r="J132" i="80" s="1"/>
  <c r="K108" i="80"/>
  <c r="L108" i="80" s="1" a="1"/>
  <c r="L108" i="80" s="1"/>
  <c r="J108" i="80" s="1"/>
  <c r="K120" i="81"/>
  <c r="L120" i="81" s="1" a="1"/>
  <c r="L120" i="81" s="1"/>
  <c r="J120" i="81" s="1"/>
  <c r="K131" i="80"/>
  <c r="L131" i="80" s="1" a="1"/>
  <c r="L131" i="80" s="1"/>
  <c r="J131" i="80" s="1"/>
  <c r="K123" i="80"/>
  <c r="L123" i="80" s="1" a="1"/>
  <c r="L123" i="80" s="1"/>
  <c r="J123" i="80" s="1"/>
  <c r="K107" i="80"/>
  <c r="L107" i="80" s="1" a="1"/>
  <c r="L107" i="80" s="1"/>
  <c r="J107" i="80" s="1"/>
  <c r="K129" i="80"/>
  <c r="L129" i="80" s="1" a="1"/>
  <c r="L129" i="80" s="1"/>
  <c r="J129" i="80" s="1"/>
  <c r="K121" i="80"/>
  <c r="L121" i="80" s="1" a="1"/>
  <c r="L121" i="80" s="1"/>
  <c r="J121" i="80" s="1"/>
  <c r="K113" i="80"/>
  <c r="L113" i="80" s="1" a="1"/>
  <c r="L113" i="80" s="1"/>
  <c r="J113" i="80" s="1"/>
  <c r="K105" i="80"/>
  <c r="L105" i="80" s="1" a="1"/>
  <c r="L105" i="80" s="1"/>
  <c r="J105" i="80" s="1"/>
  <c r="K127" i="81"/>
  <c r="L127" i="81" s="1" a="1"/>
  <c r="L127" i="81" s="1"/>
  <c r="J127" i="81" s="1"/>
  <c r="K119" i="81"/>
  <c r="L119" i="81" s="1" a="1"/>
  <c r="L119" i="81" s="1"/>
  <c r="J119" i="81" s="1"/>
  <c r="K111" i="81"/>
  <c r="L111" i="81" s="1" a="1"/>
  <c r="L111" i="81" s="1"/>
  <c r="J111" i="81" s="1"/>
  <c r="K103" i="81"/>
  <c r="L103" i="81" s="1" a="1"/>
  <c r="L103" i="81" s="1"/>
  <c r="J103" i="81" s="1"/>
  <c r="K95" i="81"/>
  <c r="L95" i="81" s="1" a="1"/>
  <c r="L95" i="81" s="1"/>
  <c r="J95" i="81" s="1"/>
  <c r="K87" i="81"/>
  <c r="L87" i="81" s="1" a="1"/>
  <c r="L87" i="81" s="1"/>
  <c r="J87" i="81" s="1"/>
  <c r="K79" i="81"/>
  <c r="L79" i="81" s="1" a="1"/>
  <c r="L79" i="81" s="1"/>
  <c r="J79" i="81" s="1"/>
  <c r="K71" i="81"/>
  <c r="L71" i="81" s="1" a="1"/>
  <c r="L71" i="81" s="1"/>
  <c r="J71" i="81" s="1"/>
  <c r="K134" i="81"/>
  <c r="L134" i="81" s="1" a="1"/>
  <c r="L134" i="81" s="1"/>
  <c r="J134" i="81" s="1"/>
  <c r="K126" i="81"/>
  <c r="L126" i="81" s="1" a="1"/>
  <c r="L126" i="81" s="1"/>
  <c r="J126" i="81" s="1"/>
  <c r="K110" i="81"/>
  <c r="L110" i="81" s="1" a="1"/>
  <c r="L110" i="81" s="1"/>
  <c r="J110" i="81" s="1"/>
  <c r="K102" i="81"/>
  <c r="L102" i="81" s="1" a="1"/>
  <c r="L102" i="81" s="1"/>
  <c r="J102" i="81" s="1"/>
  <c r="K94" i="81"/>
  <c r="L94" i="81" s="1" a="1"/>
  <c r="L94" i="81" s="1"/>
  <c r="J94" i="81" s="1"/>
  <c r="K86" i="81"/>
  <c r="L86" i="81" s="1" a="1"/>
  <c r="L86" i="81" s="1"/>
  <c r="J86" i="81" s="1"/>
  <c r="K78" i="81"/>
  <c r="L78" i="81" s="1" a="1"/>
  <c r="L78" i="81" s="1"/>
  <c r="J78" i="81" s="1"/>
  <c r="K70" i="81"/>
  <c r="L70" i="81" s="1" a="1"/>
  <c r="L70" i="81" s="1"/>
  <c r="J70" i="81" s="1"/>
  <c r="K77" i="81"/>
  <c r="L77" i="81" s="1" a="1"/>
  <c r="L77" i="81" s="1"/>
  <c r="J77" i="81" s="1"/>
  <c r="K85" i="81"/>
  <c r="L85" i="81" s="1" a="1"/>
  <c r="L85" i="81" s="1"/>
  <c r="J85" i="81" s="1"/>
  <c r="K93" i="81"/>
  <c r="L93" i="81" s="1" a="1"/>
  <c r="L93" i="81" s="1"/>
  <c r="J93" i="81" s="1"/>
  <c r="K126" i="80"/>
  <c r="L126" i="80" s="1" a="1"/>
  <c r="L126" i="80" s="1"/>
  <c r="J126" i="80" s="1"/>
  <c r="K118" i="80"/>
  <c r="L118" i="80" s="1" a="1"/>
  <c r="L118" i="80" s="1"/>
  <c r="J118" i="80" s="1"/>
  <c r="K117" i="80"/>
  <c r="L117" i="80" s="1" a="1"/>
  <c r="L117" i="80" s="1"/>
  <c r="J117" i="80" s="1"/>
  <c r="K110" i="80"/>
  <c r="L110" i="80" s="1" a="1"/>
  <c r="L110" i="80" s="1"/>
  <c r="J110" i="80" s="1"/>
  <c r="K130" i="80"/>
  <c r="L130" i="80" s="1" a="1"/>
  <c r="L130" i="80" s="1"/>
  <c r="J130" i="80" s="1"/>
  <c r="K122" i="80"/>
  <c r="L122" i="80" s="1" a="1"/>
  <c r="L122" i="80" s="1"/>
  <c r="J122" i="80" s="1"/>
  <c r="K114" i="80"/>
  <c r="L114" i="80" s="1" a="1"/>
  <c r="L114" i="80" s="1"/>
  <c r="J114" i="80" s="1"/>
  <c r="K125" i="80"/>
  <c r="L125" i="80" s="1" a="1"/>
  <c r="L125" i="80" s="1"/>
  <c r="J125" i="80" s="1"/>
  <c r="K109" i="80"/>
  <c r="L109" i="80" s="1" a="1"/>
  <c r="L109" i="80" s="1"/>
  <c r="J109" i="80" s="1"/>
  <c r="K106" i="80"/>
  <c r="L106" i="80" s="1" a="1"/>
  <c r="L106" i="80" s="1"/>
  <c r="J106" i="80" s="1"/>
  <c r="K128" i="80"/>
  <c r="L128" i="80" s="1" a="1"/>
  <c r="L128" i="80" s="1"/>
  <c r="J128" i="80" s="1"/>
  <c r="K120" i="80"/>
  <c r="L120" i="80" s="1" a="1"/>
  <c r="L120" i="80" s="1"/>
  <c r="J120" i="80" s="1"/>
  <c r="K112" i="80"/>
  <c r="L112" i="80" s="1" a="1"/>
  <c r="L112" i="80" s="1"/>
  <c r="J112" i="80" s="1"/>
  <c r="K127" i="80"/>
  <c r="L127" i="80" s="1" a="1"/>
  <c r="L127" i="80" s="1"/>
  <c r="J127" i="80" s="1"/>
  <c r="K119" i="80"/>
  <c r="L119" i="80" s="1" a="1"/>
  <c r="L119" i="80" s="1"/>
  <c r="J119" i="80" s="1"/>
  <c r="K111" i="80"/>
  <c r="L111" i="80" s="1" a="1"/>
  <c r="L111" i="80" s="1"/>
  <c r="J111" i="80" s="1"/>
  <c r="A1" i="78" l="1"/>
  <c r="A1" i="1" l="1"/>
  <c r="M10" i="3" l="1"/>
  <c r="M11" i="3"/>
  <c r="M12" i="3"/>
  <c r="M19" i="3"/>
  <c r="K21" i="3"/>
  <c r="M21" i="3" s="1"/>
  <c r="K7" i="3"/>
  <c r="M7" i="3" s="1"/>
  <c r="K6" i="3"/>
  <c r="M6" i="3" s="1"/>
  <c r="K22" i="3"/>
  <c r="M22" i="3" s="1"/>
  <c r="K20" i="3"/>
  <c r="M20" i="3" s="1"/>
  <c r="K18" i="3"/>
  <c r="M18" i="3" s="1"/>
  <c r="K17" i="3"/>
  <c r="M17" i="3" s="1"/>
  <c r="K16" i="3"/>
  <c r="M16" i="3" s="1"/>
  <c r="K15" i="3"/>
  <c r="M15" i="3" s="1"/>
  <c r="K14" i="3"/>
  <c r="M14" i="3" s="1"/>
  <c r="K13" i="3"/>
  <c r="M13" i="3" s="1"/>
  <c r="K9" i="3"/>
  <c r="M9" i="3" s="1"/>
  <c r="K8" i="3"/>
  <c r="M8" i="3" s="1"/>
  <c r="K4" i="3"/>
  <c r="M4" i="3" s="1"/>
  <c r="K5" i="3"/>
  <c r="M5" i="3" s="1"/>
  <c r="K3" i="3"/>
  <c r="M3" i="3" l="1"/>
  <c r="A1" i="74"/>
  <c r="A1" i="73"/>
  <c r="A1" i="72"/>
  <c r="A1" i="71"/>
  <c r="A1" i="70"/>
  <c r="A1" i="69"/>
  <c r="A1" i="68"/>
  <c r="A1" i="67"/>
  <c r="A1" i="66"/>
  <c r="A1" i="65"/>
  <c r="A1" i="64"/>
  <c r="A1" i="63"/>
  <c r="A1" i="62"/>
  <c r="A1" i="61"/>
  <c r="A1" i="60"/>
  <c r="A1" i="59"/>
  <c r="A1" i="58"/>
  <c r="A1" i="57"/>
  <c r="A1" i="55"/>
  <c r="A1" i="54"/>
  <c r="A1" i="53"/>
  <c r="A1" i="52"/>
  <c r="A1" i="51"/>
  <c r="A1" i="50"/>
  <c r="A1" i="49"/>
  <c r="A1" i="48"/>
  <c r="A1" i="47"/>
  <c r="A1" i="46"/>
  <c r="A1" i="45"/>
  <c r="A1" i="44"/>
  <c r="A1" i="43"/>
  <c r="A1" i="42"/>
  <c r="A1" i="41"/>
  <c r="A1" i="40"/>
  <c r="A1" i="39"/>
  <c r="A1" i="38"/>
  <c r="A1" i="37"/>
  <c r="A1" i="36"/>
  <c r="A1" i="35"/>
  <c r="A1" i="34"/>
  <c r="A1" i="33"/>
  <c r="A1" i="32"/>
  <c r="A1" i="31"/>
  <c r="A1" i="30"/>
  <c r="A1" i="29"/>
  <c r="A1" i="28"/>
  <c r="A1" i="27"/>
  <c r="A1" i="22"/>
  <c r="A1" i="7"/>
  <c r="A1" i="6"/>
  <c r="A1" i="5"/>
  <c r="C2" i="2" l="1" a="1"/>
  <c r="C2" i="2" s="1"/>
  <c r="D2" i="2"/>
  <c r="V1" i="1" l="1"/>
  <c r="B3" i="1"/>
  <c r="E2" i="2"/>
  <c r="D3" i="2"/>
  <c r="A3" i="1" l="1"/>
  <c r="B5" i="1"/>
  <c r="A5" i="1" s="1"/>
  <c r="V1" i="5"/>
  <c r="B3" i="5"/>
  <c r="A3" i="5" s="1"/>
  <c r="F2" i="2"/>
  <c r="D4" i="2"/>
  <c r="E3" i="2"/>
  <c r="B7" i="1" l="1"/>
  <c r="B3" i="6"/>
  <c r="A3" i="6" s="1"/>
  <c r="V1" i="6"/>
  <c r="F3" i="2"/>
  <c r="B5" i="5"/>
  <c r="A5" i="5" s="1"/>
  <c r="G2" i="2"/>
  <c r="D5" i="2"/>
  <c r="E4" i="2"/>
  <c r="A7" i="1" l="1"/>
  <c r="B9" i="1"/>
  <c r="A9" i="1" s="1"/>
  <c r="F4" i="2"/>
  <c r="B8" i="6"/>
  <c r="A8" i="6" s="1"/>
  <c r="B3" i="7"/>
  <c r="A3" i="7" s="1"/>
  <c r="V1" i="7"/>
  <c r="G3" i="2"/>
  <c r="B12" i="5"/>
  <c r="A12" i="5" s="1"/>
  <c r="H2" i="2"/>
  <c r="D6" i="2"/>
  <c r="E5" i="2"/>
  <c r="B13" i="1" l="1"/>
  <c r="A13" i="1" s="1"/>
  <c r="G4" i="2"/>
  <c r="B14" i="6"/>
  <c r="A14" i="6" s="1"/>
  <c r="F5" i="2"/>
  <c r="B8" i="7"/>
  <c r="A8" i="7" s="1"/>
  <c r="B3" i="22"/>
  <c r="A3" i="22" s="1"/>
  <c r="V1" i="22"/>
  <c r="H3" i="2"/>
  <c r="B19" i="5"/>
  <c r="A19" i="5" s="1"/>
  <c r="I2" i="2"/>
  <c r="D7" i="2"/>
  <c r="E6" i="2"/>
  <c r="B17" i="1" l="1"/>
  <c r="A17" i="1" s="1"/>
  <c r="G5" i="2"/>
  <c r="B15" i="7"/>
  <c r="A15" i="7" s="1"/>
  <c r="F6" i="2"/>
  <c r="B9" i="22"/>
  <c r="A9" i="22" s="1"/>
  <c r="I3" i="2"/>
  <c r="B25" i="5"/>
  <c r="A25" i="5" s="1"/>
  <c r="B3" i="27"/>
  <c r="A3" i="27" s="1"/>
  <c r="V1" i="27"/>
  <c r="H4" i="2"/>
  <c r="B23" i="6"/>
  <c r="A23" i="6" s="1"/>
  <c r="J2" i="2"/>
  <c r="D8" i="2"/>
  <c r="E7" i="2"/>
  <c r="B19" i="1" l="1"/>
  <c r="A19" i="1" s="1"/>
  <c r="G6" i="2"/>
  <c r="B17" i="22"/>
  <c r="A17" i="22" s="1"/>
  <c r="J3" i="2"/>
  <c r="B31" i="5"/>
  <c r="A31" i="5" s="1"/>
  <c r="F7" i="2"/>
  <c r="B8" i="27"/>
  <c r="A8" i="27" s="1"/>
  <c r="B3" i="28"/>
  <c r="A3" i="28" s="1"/>
  <c r="V1" i="28"/>
  <c r="I4" i="2"/>
  <c r="B30" i="6"/>
  <c r="A30" i="6" s="1"/>
  <c r="X1" i="1"/>
  <c r="W1" i="1"/>
  <c r="H5" i="2"/>
  <c r="B24" i="7"/>
  <c r="A24" i="7" s="1"/>
  <c r="D9" i="2"/>
  <c r="E8" i="2"/>
  <c r="X1" i="5" l="1"/>
  <c r="B35" i="5"/>
  <c r="A35" i="5" s="1"/>
  <c r="W1" i="5"/>
  <c r="G7" i="2"/>
  <c r="B14" i="27"/>
  <c r="A14" i="27" s="1"/>
  <c r="F8" i="2"/>
  <c r="B8" i="28"/>
  <c r="A8" i="28" s="1"/>
  <c r="I5" i="2"/>
  <c r="B33" i="7"/>
  <c r="A33" i="7" s="1"/>
  <c r="B3" i="74"/>
  <c r="A3" i="74" s="1"/>
  <c r="V1" i="74"/>
  <c r="J4" i="2"/>
  <c r="B37" i="6"/>
  <c r="A37" i="6" s="1"/>
  <c r="Y1" i="1"/>
  <c r="H6" i="2"/>
  <c r="B27" i="22"/>
  <c r="A27" i="22" s="1"/>
  <c r="D10" i="2"/>
  <c r="E9" i="2"/>
  <c r="G8" i="2" l="1"/>
  <c r="B15" i="28"/>
  <c r="A15" i="28" s="1"/>
  <c r="J5" i="2"/>
  <c r="B39" i="7"/>
  <c r="A39" i="7" s="1"/>
  <c r="V1" i="73"/>
  <c r="B3" i="73"/>
  <c r="A3" i="73" s="1"/>
  <c r="Y1" i="5"/>
  <c r="H7" i="2"/>
  <c r="B23" i="27"/>
  <c r="A23" i="27" s="1"/>
  <c r="F9" i="2"/>
  <c r="B9" i="74"/>
  <c r="A9" i="74" s="1"/>
  <c r="I6" i="2"/>
  <c r="B33" i="22"/>
  <c r="A33" i="22" s="1"/>
  <c r="X1" i="6"/>
  <c r="W1" i="6"/>
  <c r="B39" i="6"/>
  <c r="D11" i="2"/>
  <c r="E10" i="2"/>
  <c r="A39" i="6" l="1"/>
  <c r="Y1" i="6"/>
  <c r="B41" i="7"/>
  <c r="A41" i="7" s="1"/>
  <c r="X1" i="7"/>
  <c r="W1" i="7"/>
  <c r="I7" i="2"/>
  <c r="B32" i="27"/>
  <c r="A32" i="27" s="1"/>
  <c r="G9" i="2"/>
  <c r="B16" i="74"/>
  <c r="A16" i="74" s="1"/>
  <c r="F10" i="2"/>
  <c r="B6" i="73"/>
  <c r="A6" i="73" s="1"/>
  <c r="B3" i="72"/>
  <c r="A3" i="72" s="1"/>
  <c r="V1" i="72"/>
  <c r="J6" i="2"/>
  <c r="B41" i="22"/>
  <c r="A41" i="22" s="1"/>
  <c r="H8" i="2"/>
  <c r="B24" i="28"/>
  <c r="A24" i="28" s="1"/>
  <c r="D12" i="2"/>
  <c r="E11" i="2"/>
  <c r="H9" i="2" l="1"/>
  <c r="B24" i="74"/>
  <c r="A24" i="74" s="1"/>
  <c r="G10" i="2"/>
  <c r="B13" i="73"/>
  <c r="A13" i="73" s="1"/>
  <c r="F11" i="2"/>
  <c r="B6" i="72"/>
  <c r="A6" i="72" s="1"/>
  <c r="I8" i="2"/>
  <c r="B34" i="28"/>
  <c r="A34" i="28" s="1"/>
  <c r="J7" i="2"/>
  <c r="B40" i="27"/>
  <c r="A40" i="27" s="1"/>
  <c r="B46" i="22"/>
  <c r="W1" i="22"/>
  <c r="X1" i="22"/>
  <c r="B3" i="71"/>
  <c r="A3" i="71" s="1"/>
  <c r="V1" i="71"/>
  <c r="Y1" i="7"/>
  <c r="D13" i="2"/>
  <c r="E12" i="2"/>
  <c r="A46" i="22" l="1"/>
  <c r="Y1" i="22"/>
  <c r="H10" i="2"/>
  <c r="B21" i="73"/>
  <c r="A21" i="73" s="1"/>
  <c r="G11" i="2"/>
  <c r="B14" i="72"/>
  <c r="A14" i="72" s="1"/>
  <c r="J8" i="2"/>
  <c r="B40" i="28"/>
  <c r="A40" i="28" s="1"/>
  <c r="X1" i="27"/>
  <c r="W1" i="27"/>
  <c r="B45" i="27"/>
  <c r="A45" i="27" s="1"/>
  <c r="F12" i="2"/>
  <c r="B7" i="71"/>
  <c r="A7" i="71" s="1"/>
  <c r="V1" i="70"/>
  <c r="B3" i="70"/>
  <c r="A3" i="70" s="1"/>
  <c r="I9" i="2"/>
  <c r="B31" i="74"/>
  <c r="A31" i="74" s="1"/>
  <c r="D14" i="2"/>
  <c r="E13" i="2"/>
  <c r="H11" i="2" l="1"/>
  <c r="B22" i="72"/>
  <c r="A22" i="72" s="1"/>
  <c r="Y1" i="27"/>
  <c r="X1" i="28"/>
  <c r="W1" i="28"/>
  <c r="B45" i="28"/>
  <c r="G12" i="2"/>
  <c r="B14" i="71"/>
  <c r="A14" i="71" s="1"/>
  <c r="F13" i="2"/>
  <c r="B6" i="70"/>
  <c r="A6" i="70" s="1"/>
  <c r="J9" i="2"/>
  <c r="B37" i="74"/>
  <c r="A37" i="74" s="1"/>
  <c r="V1" i="69"/>
  <c r="B3" i="69"/>
  <c r="A3" i="69" s="1"/>
  <c r="I10" i="2"/>
  <c r="B27" i="73"/>
  <c r="A27" i="73" s="1"/>
  <c r="D15" i="2"/>
  <c r="E14" i="2"/>
  <c r="A45" i="28" l="1"/>
  <c r="Y1" i="28"/>
  <c r="G13" i="2"/>
  <c r="B12" i="70"/>
  <c r="A12" i="70" s="1"/>
  <c r="X1" i="74"/>
  <c r="W1" i="74"/>
  <c r="B41" i="74"/>
  <c r="A41" i="74" s="1"/>
  <c r="H12" i="2"/>
  <c r="B22" i="71"/>
  <c r="A22" i="71" s="1"/>
  <c r="F14" i="2"/>
  <c r="B9" i="69"/>
  <c r="A9" i="69" s="1"/>
  <c r="J10" i="2"/>
  <c r="B32" i="73"/>
  <c r="A32" i="73" s="1"/>
  <c r="V1" i="68"/>
  <c r="B3" i="68"/>
  <c r="A3" i="68" s="1"/>
  <c r="I11" i="2"/>
  <c r="B28" i="72"/>
  <c r="A28" i="72" s="1"/>
  <c r="D16" i="2"/>
  <c r="E15" i="2"/>
  <c r="I12" i="2" l="1"/>
  <c r="B28" i="71"/>
  <c r="A28" i="71" s="1"/>
  <c r="G14" i="2"/>
  <c r="B16" i="69"/>
  <c r="A16" i="69" s="1"/>
  <c r="W1" i="73"/>
  <c r="B37" i="73"/>
  <c r="X1" i="73"/>
  <c r="F15" i="2"/>
  <c r="B9" i="68"/>
  <c r="A9" i="68" s="1"/>
  <c r="J11" i="2"/>
  <c r="B34" i="72"/>
  <c r="A34" i="72" s="1"/>
  <c r="B3" i="67"/>
  <c r="A3" i="67" s="1"/>
  <c r="V1" i="67"/>
  <c r="Y1" i="74"/>
  <c r="H13" i="2"/>
  <c r="B20" i="70"/>
  <c r="A20" i="70" s="1"/>
  <c r="D17" i="2"/>
  <c r="E16" i="2"/>
  <c r="A37" i="73" l="1"/>
  <c r="Y1" i="73"/>
  <c r="H14" i="2"/>
  <c r="B24" i="69"/>
  <c r="A24" i="69" s="1"/>
  <c r="G15" i="2"/>
  <c r="B17" i="68"/>
  <c r="A17" i="68" s="1"/>
  <c r="W1" i="72"/>
  <c r="B36" i="72"/>
  <c r="A36" i="72" s="1"/>
  <c r="X1" i="72"/>
  <c r="F16" i="2"/>
  <c r="B10" i="67"/>
  <c r="A10" i="67" s="1"/>
  <c r="I13" i="2"/>
  <c r="B26" i="70"/>
  <c r="A26" i="70" s="1"/>
  <c r="B3" i="66"/>
  <c r="A3" i="66" s="1"/>
  <c r="V1" i="66"/>
  <c r="J12" i="2"/>
  <c r="B33" i="71"/>
  <c r="A33" i="71" s="1"/>
  <c r="D18" i="2"/>
  <c r="E17" i="2"/>
  <c r="Y1" i="72" l="1"/>
  <c r="H15" i="2"/>
  <c r="B25" i="68"/>
  <c r="A25" i="68" s="1"/>
  <c r="G16" i="2"/>
  <c r="B18" i="67"/>
  <c r="A18" i="67" s="1"/>
  <c r="J13" i="2"/>
  <c r="B31" i="70"/>
  <c r="A31" i="70" s="1"/>
  <c r="F17" i="2"/>
  <c r="B7" i="66"/>
  <c r="A7" i="66" s="1"/>
  <c r="X1" i="71"/>
  <c r="W1" i="71"/>
  <c r="B37" i="71"/>
  <c r="B3" i="65"/>
  <c r="A3" i="65" s="1"/>
  <c r="V1" i="65"/>
  <c r="I14" i="2"/>
  <c r="B31" i="69"/>
  <c r="A31" i="69" s="1"/>
  <c r="D19" i="2"/>
  <c r="E18" i="2"/>
  <c r="A37" i="71" l="1"/>
  <c r="Y1" i="71"/>
  <c r="H16" i="2"/>
  <c r="B28" i="67"/>
  <c r="A28" i="67" s="1"/>
  <c r="B36" i="70"/>
  <c r="A36" i="70" s="1"/>
  <c r="X1" i="70"/>
  <c r="W1" i="70"/>
  <c r="J14" i="2"/>
  <c r="B37" i="69"/>
  <c r="A37" i="69" s="1"/>
  <c r="G17" i="2"/>
  <c r="B10" i="66"/>
  <c r="A10" i="66" s="1"/>
  <c r="F18" i="2"/>
  <c r="B5" i="65"/>
  <c r="A5" i="65" s="1"/>
  <c r="B3" i="64"/>
  <c r="A3" i="64" s="1"/>
  <c r="V1" i="64"/>
  <c r="I15" i="2"/>
  <c r="B32" i="68"/>
  <c r="A32" i="68" s="1"/>
  <c r="D20" i="2"/>
  <c r="E19" i="2"/>
  <c r="Y1" i="70" l="1"/>
  <c r="B41" i="69"/>
  <c r="W1" i="69"/>
  <c r="X1" i="69"/>
  <c r="H17" i="2"/>
  <c r="B17" i="66"/>
  <c r="A17" i="66" s="1"/>
  <c r="G18" i="2"/>
  <c r="B12" i="65"/>
  <c r="A12" i="65" s="1"/>
  <c r="F19" i="2"/>
  <c r="B7" i="64"/>
  <c r="A7" i="64" s="1"/>
  <c r="J15" i="2"/>
  <c r="B40" i="68"/>
  <c r="A40" i="68" s="1"/>
  <c r="B3" i="63"/>
  <c r="A3" i="63" s="1"/>
  <c r="V1" i="63"/>
  <c r="I16" i="2"/>
  <c r="B36" i="67"/>
  <c r="A36" i="67" s="1"/>
  <c r="D21" i="2"/>
  <c r="E20" i="2"/>
  <c r="A41" i="69" l="1"/>
  <c r="Y1" i="69"/>
  <c r="G19" i="2"/>
  <c r="B13" i="64"/>
  <c r="A13" i="64" s="1"/>
  <c r="X1" i="68"/>
  <c r="W1" i="68"/>
  <c r="B43" i="68"/>
  <c r="A43" i="68" s="1"/>
  <c r="H18" i="2"/>
  <c r="B20" i="65"/>
  <c r="A20" i="65" s="1"/>
  <c r="F20" i="2"/>
  <c r="B7" i="63"/>
  <c r="A7" i="63" s="1"/>
  <c r="J16" i="2"/>
  <c r="B41" i="67"/>
  <c r="A41" i="67" s="1"/>
  <c r="B3" i="62"/>
  <c r="A3" i="62" s="1"/>
  <c r="V1" i="62"/>
  <c r="I17" i="2"/>
  <c r="B21" i="66"/>
  <c r="A21" i="66" s="1"/>
  <c r="D22" i="2"/>
  <c r="E21" i="2"/>
  <c r="Y1" i="68" l="1"/>
  <c r="I18" i="2"/>
  <c r="B26" i="65"/>
  <c r="A26" i="65" s="1"/>
  <c r="G20" i="2"/>
  <c r="B13" i="63"/>
  <c r="A13" i="63" s="1"/>
  <c r="B46" i="67"/>
  <c r="X1" i="67"/>
  <c r="W1" i="67"/>
  <c r="F21" i="2"/>
  <c r="B5" i="62"/>
  <c r="A5" i="62" s="1"/>
  <c r="J17" i="2"/>
  <c r="B23" i="66"/>
  <c r="A23" i="66" s="1"/>
  <c r="B3" i="61"/>
  <c r="A3" i="61" s="1"/>
  <c r="V1" i="61"/>
  <c r="H19" i="2"/>
  <c r="B19" i="64"/>
  <c r="A19" i="64" s="1"/>
  <c r="D23" i="2"/>
  <c r="E22" i="2"/>
  <c r="A46" i="67" l="1"/>
  <c r="Y1" i="67"/>
  <c r="H20" i="2"/>
  <c r="B19" i="63"/>
  <c r="A19" i="63" s="1"/>
  <c r="G21" i="2"/>
  <c r="B10" i="62"/>
  <c r="A10" i="62" s="1"/>
  <c r="B25" i="66"/>
  <c r="A25" i="66" s="1"/>
  <c r="W1" i="66"/>
  <c r="X1" i="66"/>
  <c r="F22" i="2"/>
  <c r="B5" i="61"/>
  <c r="A5" i="61" s="1"/>
  <c r="I19" i="2"/>
  <c r="B21" i="64"/>
  <c r="A21" i="64" s="1"/>
  <c r="B3" i="60"/>
  <c r="A3" i="60" s="1"/>
  <c r="V1" i="60"/>
  <c r="J18" i="2"/>
  <c r="B31" i="65"/>
  <c r="A31" i="65" s="1"/>
  <c r="D24" i="2"/>
  <c r="E23" i="2"/>
  <c r="Y1" i="66" l="1"/>
  <c r="G22" i="2"/>
  <c r="B8" i="61"/>
  <c r="A8" i="61" s="1"/>
  <c r="J19" i="2"/>
  <c r="B25" i="64"/>
  <c r="A25" i="64" s="1"/>
  <c r="H21" i="2"/>
  <c r="B16" i="62"/>
  <c r="A16" i="62" s="1"/>
  <c r="F23" i="2"/>
  <c r="B6" i="60"/>
  <c r="A6" i="60" s="1"/>
  <c r="X1" i="65"/>
  <c r="B35" i="65"/>
  <c r="W1" i="65"/>
  <c r="B3" i="59"/>
  <c r="A3" i="59" s="1"/>
  <c r="V1" i="59"/>
  <c r="I20" i="2"/>
  <c r="B25" i="63"/>
  <c r="A25" i="63" s="1"/>
  <c r="D25" i="2"/>
  <c r="E24" i="2"/>
  <c r="A35" i="65" l="1"/>
  <c r="Y1" i="65"/>
  <c r="I21" i="2"/>
  <c r="B22" i="62"/>
  <c r="A22" i="62" s="1"/>
  <c r="G23" i="2"/>
  <c r="B10" i="60"/>
  <c r="A10" i="60" s="1"/>
  <c r="B28" i="64"/>
  <c r="A28" i="64" s="1"/>
  <c r="X1" i="64"/>
  <c r="W1" i="64"/>
  <c r="F24" i="2"/>
  <c r="B5" i="59"/>
  <c r="A5" i="59" s="1"/>
  <c r="J20" i="2"/>
  <c r="B30" i="63"/>
  <c r="A30" i="63" s="1"/>
  <c r="B3" i="58"/>
  <c r="A3" i="58" s="1"/>
  <c r="V1" i="58"/>
  <c r="H22" i="2"/>
  <c r="B10" i="61"/>
  <c r="A10" i="61" s="1"/>
  <c r="D26" i="2"/>
  <c r="E25" i="2"/>
  <c r="Y1" i="64" l="1"/>
  <c r="H23" i="2"/>
  <c r="B13" i="60"/>
  <c r="A13" i="60" s="1"/>
  <c r="G24" i="2"/>
  <c r="B8" i="59"/>
  <c r="A8" i="59" s="1"/>
  <c r="B32" i="63"/>
  <c r="A32" i="63" s="1"/>
  <c r="X1" i="63"/>
  <c r="W1" i="63"/>
  <c r="F25" i="2"/>
  <c r="B5" i="58"/>
  <c r="A5" i="58" s="1"/>
  <c r="I22" i="2"/>
  <c r="B13" i="61"/>
  <c r="A13" i="61" s="1"/>
  <c r="B3" i="57"/>
  <c r="A3" i="57" s="1"/>
  <c r="V1" i="57"/>
  <c r="J21" i="2"/>
  <c r="B28" i="62"/>
  <c r="A28" i="62" s="1"/>
  <c r="D27" i="2"/>
  <c r="E26" i="2"/>
  <c r="B16" i="61" l="1"/>
  <c r="A16" i="61" s="1"/>
  <c r="B3" i="78"/>
  <c r="A3" i="78" s="1"/>
  <c r="V1" i="78"/>
  <c r="Y1" i="63"/>
  <c r="G25" i="2"/>
  <c r="B8" i="58"/>
  <c r="A8" i="58" s="1"/>
  <c r="H24" i="2"/>
  <c r="B10" i="59"/>
  <c r="A10" i="59" s="1"/>
  <c r="J22" i="2"/>
  <c r="F26" i="2"/>
  <c r="B5" i="57"/>
  <c r="A5" i="57" s="1"/>
  <c r="B30" i="62"/>
  <c r="A30" i="62" s="1"/>
  <c r="W1" i="62"/>
  <c r="X1" i="62"/>
  <c r="I23" i="2"/>
  <c r="B15" i="60"/>
  <c r="A15" i="60" s="1"/>
  <c r="D28" i="2"/>
  <c r="E27" i="2"/>
  <c r="B5" i="78" l="1"/>
  <c r="A5" i="78" s="1"/>
  <c r="Y1" i="62"/>
  <c r="B20" i="61"/>
  <c r="X1" i="61"/>
  <c r="W1" i="61"/>
  <c r="I24" i="2"/>
  <c r="B13" i="59"/>
  <c r="A13" i="59" s="1"/>
  <c r="G26" i="2"/>
  <c r="B7" i="57"/>
  <c r="A7" i="57" s="1"/>
  <c r="F27" i="2"/>
  <c r="J23" i="2"/>
  <c r="B18" i="60"/>
  <c r="A18" i="60" s="1"/>
  <c r="B3" i="55"/>
  <c r="A3" i="55" s="1"/>
  <c r="V1" i="55"/>
  <c r="H25" i="2"/>
  <c r="B10" i="58"/>
  <c r="A10" i="58" s="1"/>
  <c r="D29" i="2"/>
  <c r="E28" i="2"/>
  <c r="A20" i="61" l="1"/>
  <c r="B7" i="78"/>
  <c r="A7" i="78" s="1"/>
  <c r="G27" i="2"/>
  <c r="Y1" i="61"/>
  <c r="B20" i="60"/>
  <c r="A20" i="60" s="1"/>
  <c r="X1" i="60"/>
  <c r="W1" i="60"/>
  <c r="H26" i="2"/>
  <c r="B9" i="57"/>
  <c r="A9" i="57" s="1"/>
  <c r="F28" i="2"/>
  <c r="B5" i="55"/>
  <c r="A5" i="55" s="1"/>
  <c r="I25" i="2"/>
  <c r="B12" i="58"/>
  <c r="A12" i="58" s="1"/>
  <c r="B3" i="54"/>
  <c r="A3" i="54" s="1"/>
  <c r="V1" i="54"/>
  <c r="J24" i="2"/>
  <c r="B15" i="59"/>
  <c r="A15" i="59" s="1"/>
  <c r="D30" i="2"/>
  <c r="E29" i="2"/>
  <c r="B9" i="78" l="1"/>
  <c r="A9" i="78" s="1"/>
  <c r="Y1" i="60"/>
  <c r="J25" i="2"/>
  <c r="B15" i="58"/>
  <c r="A15" i="58" s="1"/>
  <c r="G28" i="2"/>
  <c r="B7" i="55"/>
  <c r="A7" i="55" s="1"/>
  <c r="F29" i="2"/>
  <c r="B5" i="54"/>
  <c r="A5" i="54" s="1"/>
  <c r="B17" i="59"/>
  <c r="W1" i="59"/>
  <c r="X1" i="59"/>
  <c r="B3" i="53"/>
  <c r="A3" i="53" s="1"/>
  <c r="V1" i="53"/>
  <c r="I26" i="2"/>
  <c r="B11" i="57"/>
  <c r="A11" i="57" s="1"/>
  <c r="H27" i="2"/>
  <c r="D31" i="2"/>
  <c r="E30" i="2"/>
  <c r="A17" i="59" l="1"/>
  <c r="B11" i="78"/>
  <c r="A11" i="78" s="1"/>
  <c r="Y1" i="59"/>
  <c r="G29" i="2"/>
  <c r="B7" i="54"/>
  <c r="A7" i="54" s="1"/>
  <c r="J26" i="2"/>
  <c r="B13" i="57"/>
  <c r="A13" i="57" s="1"/>
  <c r="H28" i="2"/>
  <c r="B9" i="55"/>
  <c r="A9" i="55" s="1"/>
  <c r="F30" i="2"/>
  <c r="B5" i="53"/>
  <c r="A5" i="53" s="1"/>
  <c r="I27" i="2"/>
  <c r="B3" i="52"/>
  <c r="A3" i="52" s="1"/>
  <c r="V1" i="52"/>
  <c r="B17" i="58"/>
  <c r="A17" i="58" s="1"/>
  <c r="X1" i="58"/>
  <c r="W1" i="58"/>
  <c r="D32" i="2"/>
  <c r="E31" i="2"/>
  <c r="B13" i="78" l="1"/>
  <c r="A13" i="78" s="1"/>
  <c r="Y1" i="58"/>
  <c r="I28" i="2"/>
  <c r="B11" i="55"/>
  <c r="A11" i="55" s="1"/>
  <c r="B15" i="57"/>
  <c r="W1" i="57"/>
  <c r="X1" i="57"/>
  <c r="G30" i="2"/>
  <c r="B7" i="53"/>
  <c r="A7" i="53" s="1"/>
  <c r="J27" i="2"/>
  <c r="F31" i="2"/>
  <c r="B5" i="52"/>
  <c r="A5" i="52" s="1"/>
  <c r="B3" i="51"/>
  <c r="A3" i="51" s="1"/>
  <c r="V1" i="51"/>
  <c r="H29" i="2"/>
  <c r="B9" i="54"/>
  <c r="A9" i="54" s="1"/>
  <c r="D33" i="2"/>
  <c r="E32" i="2"/>
  <c r="A15" i="57" l="1"/>
  <c r="X1" i="78"/>
  <c r="W1" i="78"/>
  <c r="B15" i="78"/>
  <c r="A15" i="78" s="1"/>
  <c r="Y1" i="57"/>
  <c r="G31" i="2"/>
  <c r="B7" i="52"/>
  <c r="A7" i="52" s="1"/>
  <c r="H30" i="2"/>
  <c r="B9" i="53"/>
  <c r="A9" i="53" s="1"/>
  <c r="F32" i="2"/>
  <c r="B5" i="51"/>
  <c r="A5" i="51" s="1"/>
  <c r="I29" i="2"/>
  <c r="B11" i="54"/>
  <c r="A11" i="54" s="1"/>
  <c r="B3" i="49"/>
  <c r="A3" i="49" s="1"/>
  <c r="V1" i="49"/>
  <c r="J28" i="2"/>
  <c r="B13" i="55"/>
  <c r="A13" i="55" s="1"/>
  <c r="D34" i="2"/>
  <c r="E33" i="2"/>
  <c r="Y1" i="78" l="1"/>
  <c r="I30" i="2"/>
  <c r="B11" i="53"/>
  <c r="A11" i="53" s="1"/>
  <c r="G32" i="2"/>
  <c r="B7" i="51"/>
  <c r="A7" i="51" s="1"/>
  <c r="J29" i="2"/>
  <c r="B13" i="54"/>
  <c r="A13" i="54" s="1"/>
  <c r="F33" i="2"/>
  <c r="B7" i="49"/>
  <c r="A7" i="49" s="1"/>
  <c r="B15" i="55"/>
  <c r="X1" i="55"/>
  <c r="W1" i="55"/>
  <c r="B3" i="48"/>
  <c r="A3" i="48" s="1"/>
  <c r="V1" i="48"/>
  <c r="H31" i="2"/>
  <c r="B9" i="52"/>
  <c r="A9" i="52" s="1"/>
  <c r="D35" i="2"/>
  <c r="E34" i="2"/>
  <c r="A15" i="55" l="1"/>
  <c r="Y1" i="55"/>
  <c r="H32" i="2"/>
  <c r="B9" i="51"/>
  <c r="A9" i="51" s="1"/>
  <c r="G33" i="2"/>
  <c r="B13" i="49"/>
  <c r="A13" i="49" s="1"/>
  <c r="B15" i="54"/>
  <c r="A15" i="54" s="1"/>
  <c r="W1" i="54"/>
  <c r="X1" i="54"/>
  <c r="F34" i="2"/>
  <c r="B5" i="48"/>
  <c r="A5" i="48" s="1"/>
  <c r="I31" i="2"/>
  <c r="B11" i="52"/>
  <c r="A11" i="52" s="1"/>
  <c r="B3" i="47"/>
  <c r="A3" i="47" s="1"/>
  <c r="V1" i="47"/>
  <c r="J30" i="2"/>
  <c r="B13" i="53"/>
  <c r="A13" i="53" s="1"/>
  <c r="D36" i="2"/>
  <c r="E35" i="2"/>
  <c r="Y1" i="54" l="1"/>
  <c r="G34" i="2"/>
  <c r="B7" i="48"/>
  <c r="A7" i="48" s="1"/>
  <c r="H33" i="2"/>
  <c r="B15" i="49"/>
  <c r="A15" i="49" s="1"/>
  <c r="J31" i="2"/>
  <c r="B13" i="52"/>
  <c r="A13" i="52" s="1"/>
  <c r="F35" i="2"/>
  <c r="B5" i="47"/>
  <c r="A5" i="47" s="1"/>
  <c r="B15" i="53"/>
  <c r="X1" i="53"/>
  <c r="W1" i="53"/>
  <c r="B3" i="46"/>
  <c r="A3" i="46" s="1"/>
  <c r="V1" i="46"/>
  <c r="I32" i="2"/>
  <c r="B11" i="51"/>
  <c r="A11" i="51" s="1"/>
  <c r="D37" i="2"/>
  <c r="E36" i="2"/>
  <c r="A15" i="53" l="1"/>
  <c r="Y1" i="53"/>
  <c r="B15" i="52"/>
  <c r="A15" i="52" s="1"/>
  <c r="X1" i="52"/>
  <c r="W1" i="52"/>
  <c r="G35" i="2"/>
  <c r="B8" i="47"/>
  <c r="A8" i="47" s="1"/>
  <c r="F36" i="2"/>
  <c r="B5" i="46"/>
  <c r="A5" i="46" s="1"/>
  <c r="J32" i="2"/>
  <c r="B13" i="51"/>
  <c r="A13" i="51" s="1"/>
  <c r="I33" i="2"/>
  <c r="B17" i="49"/>
  <c r="A17" i="49" s="1"/>
  <c r="B3" i="45"/>
  <c r="A3" i="45" s="1"/>
  <c r="V1" i="45"/>
  <c r="H34" i="2"/>
  <c r="B9" i="48"/>
  <c r="A9" i="48" s="1"/>
  <c r="D38" i="2"/>
  <c r="E37" i="2"/>
  <c r="Y1" i="52" l="1"/>
  <c r="B15" i="51"/>
  <c r="X1" i="51"/>
  <c r="W1" i="51"/>
  <c r="J33" i="2"/>
  <c r="B19" i="49"/>
  <c r="A19" i="49" s="1"/>
  <c r="G36" i="2"/>
  <c r="B7" i="46"/>
  <c r="A7" i="46" s="1"/>
  <c r="F37" i="2"/>
  <c r="B5" i="45"/>
  <c r="A5" i="45" s="1"/>
  <c r="I34" i="2"/>
  <c r="B11" i="48"/>
  <c r="A11" i="48" s="1"/>
  <c r="B3" i="44"/>
  <c r="A3" i="44" s="1"/>
  <c r="V1" i="44"/>
  <c r="H35" i="2"/>
  <c r="B10" i="47"/>
  <c r="A10" i="47" s="1"/>
  <c r="D39" i="2"/>
  <c r="E38" i="2"/>
  <c r="A15" i="51" l="1"/>
  <c r="Y1" i="51"/>
  <c r="J34" i="2"/>
  <c r="B13" i="48"/>
  <c r="A13" i="48" s="1"/>
  <c r="G37" i="2"/>
  <c r="B10" i="45"/>
  <c r="A10" i="45" s="1"/>
  <c r="F38" i="2"/>
  <c r="B5" i="44"/>
  <c r="A5" i="44" s="1"/>
  <c r="H36" i="2"/>
  <c r="B9" i="46"/>
  <c r="A9" i="46" s="1"/>
  <c r="I35" i="2"/>
  <c r="B13" i="47"/>
  <c r="A13" i="47" s="1"/>
  <c r="B3" i="43"/>
  <c r="A3" i="43" s="1"/>
  <c r="V1" i="43"/>
  <c r="B21" i="49"/>
  <c r="A21" i="49" s="1"/>
  <c r="X1" i="49"/>
  <c r="W1" i="49"/>
  <c r="D40" i="2"/>
  <c r="E39" i="2"/>
  <c r="Y1" i="49" l="1"/>
  <c r="H37" i="2"/>
  <c r="B14" i="45"/>
  <c r="A14" i="45" s="1"/>
  <c r="G38" i="2"/>
  <c r="B8" i="44"/>
  <c r="A8" i="44" s="1"/>
  <c r="I36" i="2"/>
  <c r="B11" i="46"/>
  <c r="A11" i="46" s="1"/>
  <c r="J35" i="2"/>
  <c r="B16" i="47"/>
  <c r="A16" i="47" s="1"/>
  <c r="F39" i="2"/>
  <c r="B5" i="43"/>
  <c r="A5" i="43" s="1"/>
  <c r="B3" i="42"/>
  <c r="A3" i="42" s="1"/>
  <c r="V1" i="42"/>
  <c r="B15" i="48"/>
  <c r="W1" i="48"/>
  <c r="X1" i="48"/>
  <c r="D41" i="2"/>
  <c r="E40" i="2"/>
  <c r="A15" i="48" l="1"/>
  <c r="H38" i="2"/>
  <c r="B14" i="44"/>
  <c r="A14" i="44" s="1"/>
  <c r="J36" i="2"/>
  <c r="B14" i="46"/>
  <c r="A14" i="46" s="1"/>
  <c r="G39" i="2"/>
  <c r="B8" i="43"/>
  <c r="A8" i="43" s="1"/>
  <c r="F40" i="2"/>
  <c r="B5" i="42"/>
  <c r="A5" i="42" s="1"/>
  <c r="Y1" i="48"/>
  <c r="B18" i="47"/>
  <c r="A18" i="47" s="1"/>
  <c r="X1" i="47"/>
  <c r="W1" i="47"/>
  <c r="B3" i="41"/>
  <c r="A3" i="41" s="1"/>
  <c r="V1" i="41"/>
  <c r="I37" i="2"/>
  <c r="B18" i="45"/>
  <c r="A18" i="45" s="1"/>
  <c r="D42" i="2"/>
  <c r="E41" i="2"/>
  <c r="J37" i="2" l="1"/>
  <c r="B21" i="45"/>
  <c r="A21" i="45" s="1"/>
  <c r="B17" i="46"/>
  <c r="X1" i="46"/>
  <c r="W1" i="46"/>
  <c r="H39" i="2"/>
  <c r="B14" i="43"/>
  <c r="A14" i="43" s="1"/>
  <c r="G40" i="2"/>
  <c r="B11" i="42"/>
  <c r="A11" i="42" s="1"/>
  <c r="Y1" i="47"/>
  <c r="F41" i="2"/>
  <c r="B7" i="41"/>
  <c r="A7" i="41" s="1"/>
  <c r="B3" i="40"/>
  <c r="A3" i="40" s="1"/>
  <c r="V1" i="40"/>
  <c r="I38" i="2"/>
  <c r="B19" i="44"/>
  <c r="A19" i="44" s="1"/>
  <c r="D43" i="2"/>
  <c r="E42" i="2"/>
  <c r="A17" i="46" l="1"/>
  <c r="Y1" i="46"/>
  <c r="B23" i="45"/>
  <c r="A23" i="45" s="1"/>
  <c r="W1" i="45"/>
  <c r="X1" i="45"/>
  <c r="I39" i="2"/>
  <c r="B19" i="43"/>
  <c r="A19" i="43" s="1"/>
  <c r="G41" i="2"/>
  <c r="B12" i="41"/>
  <c r="A12" i="41" s="1"/>
  <c r="H40" i="2"/>
  <c r="B22" i="42"/>
  <c r="A22" i="42" s="1"/>
  <c r="F42" i="2"/>
  <c r="B6" i="40"/>
  <c r="A6" i="40" s="1"/>
  <c r="J38" i="2"/>
  <c r="B24" i="44"/>
  <c r="A24" i="44" s="1"/>
  <c r="B3" i="39"/>
  <c r="A3" i="39" s="1"/>
  <c r="V1" i="39"/>
  <c r="D44" i="2"/>
  <c r="E43" i="2"/>
  <c r="Y1" i="45" l="1"/>
  <c r="J39" i="2"/>
  <c r="B25" i="43"/>
  <c r="A25" i="43" s="1"/>
  <c r="I40" i="2"/>
  <c r="B29" i="42"/>
  <c r="A29" i="42" s="1"/>
  <c r="B3" i="38"/>
  <c r="A3" i="38" s="1"/>
  <c r="V1" i="38"/>
  <c r="G42" i="2"/>
  <c r="B12" i="40"/>
  <c r="A12" i="40" s="1"/>
  <c r="H41" i="2"/>
  <c r="B22" i="41"/>
  <c r="A22" i="41" s="1"/>
  <c r="B27" i="44"/>
  <c r="A27" i="44" s="1"/>
  <c r="X1" i="44"/>
  <c r="W1" i="44"/>
  <c r="F43" i="2"/>
  <c r="B5" i="39"/>
  <c r="A5" i="39" s="1"/>
  <c r="D45" i="2"/>
  <c r="E44" i="2"/>
  <c r="B9" i="39" l="1"/>
  <c r="A9" i="39" s="1"/>
  <c r="J40" i="2"/>
  <c r="B36" i="42"/>
  <c r="A36" i="42" s="1"/>
  <c r="H42" i="2"/>
  <c r="B21" i="40"/>
  <c r="A21" i="40" s="1"/>
  <c r="I41" i="2"/>
  <c r="B29" i="41"/>
  <c r="A29" i="41" s="1"/>
  <c r="F44" i="2"/>
  <c r="B5" i="38"/>
  <c r="A5" i="38" s="1"/>
  <c r="G43" i="2"/>
  <c r="Y1" i="44"/>
  <c r="B3" i="37"/>
  <c r="A3" i="37" s="1"/>
  <c r="V1" i="37"/>
  <c r="B27" i="43"/>
  <c r="A27" i="43" s="1"/>
  <c r="X1" i="43"/>
  <c r="W1" i="43"/>
  <c r="D46" i="2"/>
  <c r="E45" i="2"/>
  <c r="B10" i="38" l="1"/>
  <c r="A10" i="38" s="1"/>
  <c r="Y1" i="43"/>
  <c r="I42" i="2"/>
  <c r="B27" i="40"/>
  <c r="A27" i="40" s="1"/>
  <c r="J41" i="2"/>
  <c r="B37" i="41"/>
  <c r="A37" i="41" s="1"/>
  <c r="G44" i="2"/>
  <c r="F45" i="2"/>
  <c r="B5" i="37"/>
  <c r="A5" i="37" s="1"/>
  <c r="H43" i="2"/>
  <c r="B19" i="39"/>
  <c r="A19" i="39" s="1"/>
  <c r="B3" i="36"/>
  <c r="A3" i="36" s="1"/>
  <c r="V1" i="36"/>
  <c r="B40" i="42"/>
  <c r="X1" i="42"/>
  <c r="W1" i="42"/>
  <c r="D47" i="2"/>
  <c r="E46" i="2"/>
  <c r="A40" i="42" l="1"/>
  <c r="Y1" i="42"/>
  <c r="B39" i="41"/>
  <c r="A39" i="41" s="1"/>
  <c r="X1" i="41"/>
  <c r="W1" i="41"/>
  <c r="H44" i="2"/>
  <c r="B22" i="38"/>
  <c r="A22" i="38" s="1"/>
  <c r="G45" i="2"/>
  <c r="B9" i="37"/>
  <c r="A9" i="37" s="1"/>
  <c r="I43" i="2"/>
  <c r="B25" i="39"/>
  <c r="A25" i="39" s="1"/>
  <c r="F46" i="2"/>
  <c r="B6" i="36"/>
  <c r="A6" i="36" s="1"/>
  <c r="B3" i="35"/>
  <c r="A3" i="35" s="1"/>
  <c r="V1" i="35"/>
  <c r="J42" i="2"/>
  <c r="B35" i="40"/>
  <c r="A35" i="40" s="1"/>
  <c r="D48" i="2"/>
  <c r="E47" i="2"/>
  <c r="Y1" i="41" l="1"/>
  <c r="H45" i="2"/>
  <c r="B15" i="37"/>
  <c r="A15" i="37" s="1"/>
  <c r="G46" i="2"/>
  <c r="B12" i="36"/>
  <c r="A12" i="36" s="1"/>
  <c r="F47" i="2"/>
  <c r="B5" i="35"/>
  <c r="A5" i="35" s="1"/>
  <c r="B40" i="40"/>
  <c r="W1" i="40"/>
  <c r="X1" i="40"/>
  <c r="J43" i="2"/>
  <c r="B33" i="39"/>
  <c r="A33" i="39" s="1"/>
  <c r="B3" i="34"/>
  <c r="A3" i="34" s="1"/>
  <c r="V1" i="34"/>
  <c r="I44" i="2"/>
  <c r="B30" i="38"/>
  <c r="A30" i="38" s="1"/>
  <c r="D49" i="2"/>
  <c r="E48" i="2"/>
  <c r="A40" i="40" l="1"/>
  <c r="Y1" i="40"/>
  <c r="H46" i="2"/>
  <c r="B22" i="36"/>
  <c r="A22" i="36" s="1"/>
  <c r="B37" i="39"/>
  <c r="A37" i="39" s="1"/>
  <c r="W1" i="39"/>
  <c r="X1" i="39"/>
  <c r="G47" i="2"/>
  <c r="B9" i="35"/>
  <c r="A9" i="35" s="1"/>
  <c r="F48" i="2"/>
  <c r="B6" i="34"/>
  <c r="A6" i="34" s="1"/>
  <c r="J44" i="2"/>
  <c r="B37" i="38"/>
  <c r="A37" i="38" s="1"/>
  <c r="B3" i="33"/>
  <c r="A3" i="33" s="1"/>
  <c r="V1" i="33"/>
  <c r="I45" i="2"/>
  <c r="B20" i="37"/>
  <c r="A20" i="37" s="1"/>
  <c r="D50" i="2"/>
  <c r="E49" i="2"/>
  <c r="Y1" i="39" l="1"/>
  <c r="H47" i="2"/>
  <c r="B15" i="35"/>
  <c r="A15" i="35" s="1"/>
  <c r="G48" i="2"/>
  <c r="B10" i="34"/>
  <c r="A10" i="34" s="1"/>
  <c r="B40" i="38"/>
  <c r="X1" i="38"/>
  <c r="W1" i="38"/>
  <c r="B3" i="32"/>
  <c r="A3" i="32" s="1"/>
  <c r="V1" i="32"/>
  <c r="F49" i="2"/>
  <c r="B5" i="33"/>
  <c r="A5" i="33" s="1"/>
  <c r="J45" i="2"/>
  <c r="B26" i="37"/>
  <c r="A26" i="37" s="1"/>
  <c r="I46" i="2"/>
  <c r="B28" i="36"/>
  <c r="A28" i="36" s="1"/>
  <c r="D51" i="2"/>
  <c r="E50" i="2"/>
  <c r="A40" i="38" l="1"/>
  <c r="Y1" i="38"/>
  <c r="H48" i="2"/>
  <c r="B19" i="34"/>
  <c r="A19" i="34" s="1"/>
  <c r="G49" i="2"/>
  <c r="B9" i="33"/>
  <c r="A9" i="33" s="1"/>
  <c r="B29" i="37"/>
  <c r="A29" i="37" s="1"/>
  <c r="W1" i="37"/>
  <c r="X1" i="37"/>
  <c r="F50" i="2"/>
  <c r="B5" i="32"/>
  <c r="A5" i="32" s="1"/>
  <c r="J46" i="2"/>
  <c r="B34" i="36"/>
  <c r="A34" i="36" s="1"/>
  <c r="B3" i="31"/>
  <c r="A3" i="31" s="1"/>
  <c r="V1" i="31"/>
  <c r="I47" i="2"/>
  <c r="B21" i="35"/>
  <c r="A21" i="35" s="1"/>
  <c r="D52" i="2"/>
  <c r="E51" i="2"/>
  <c r="Y1" i="37" l="1"/>
  <c r="H49" i="2"/>
  <c r="B18" i="33"/>
  <c r="A18" i="33" s="1"/>
  <c r="B39" i="36"/>
  <c r="X1" i="36"/>
  <c r="W1" i="36"/>
  <c r="J47" i="2"/>
  <c r="B27" i="35"/>
  <c r="A27" i="35" s="1"/>
  <c r="G50" i="2"/>
  <c r="B9" i="32"/>
  <c r="A9" i="32" s="1"/>
  <c r="F51" i="2"/>
  <c r="B5" i="31"/>
  <c r="A5" i="31" s="1"/>
  <c r="B3" i="29"/>
  <c r="A3" i="29" s="1"/>
  <c r="V1" i="29"/>
  <c r="I48" i="2"/>
  <c r="B25" i="34"/>
  <c r="A25" i="34" s="1"/>
  <c r="D53" i="2"/>
  <c r="E52" i="2"/>
  <c r="A39" i="36" l="1"/>
  <c r="B30" i="35"/>
  <c r="A30" i="35" s="1"/>
  <c r="X1" i="35"/>
  <c r="W1" i="35"/>
  <c r="B3" i="30"/>
  <c r="A3" i="30" s="1"/>
  <c r="V1" i="30"/>
  <c r="H50" i="2"/>
  <c r="B19" i="32"/>
  <c r="A19" i="32" s="1"/>
  <c r="G51" i="2"/>
  <c r="B9" i="31"/>
  <c r="A9" i="31" s="1"/>
  <c r="Y1" i="36"/>
  <c r="F52" i="2"/>
  <c r="B5" i="29"/>
  <c r="A5" i="29" s="1"/>
  <c r="J48" i="2"/>
  <c r="B31" i="34"/>
  <c r="A31" i="34" s="1"/>
  <c r="I49" i="2"/>
  <c r="B24" i="33"/>
  <c r="A24" i="33" s="1"/>
  <c r="D54" i="2"/>
  <c r="E53" i="2"/>
  <c r="Y1" i="35" l="1"/>
  <c r="I50" i="2"/>
  <c r="B26" i="32"/>
  <c r="A26" i="32" s="1"/>
  <c r="G52" i="2"/>
  <c r="B9" i="29"/>
  <c r="A9" i="29" s="1"/>
  <c r="H51" i="2"/>
  <c r="B18" i="31"/>
  <c r="A18" i="31" s="1"/>
  <c r="B34" i="34"/>
  <c r="X1" i="34"/>
  <c r="W1" i="34"/>
  <c r="F53" i="2"/>
  <c r="B5" i="30"/>
  <c r="A5" i="30" s="1"/>
  <c r="J49" i="2"/>
  <c r="B30" i="33"/>
  <c r="A30" i="33" s="1"/>
  <c r="E54" i="2"/>
  <c r="B3" i="50"/>
  <c r="A3" i="50" s="1"/>
  <c r="V1" i="50"/>
  <c r="A34" i="34" l="1"/>
  <c r="Y1" i="34"/>
  <c r="H52" i="2"/>
  <c r="B16" i="29"/>
  <c r="A16" i="29" s="1"/>
  <c r="I51" i="2"/>
  <c r="B24" i="31"/>
  <c r="A24" i="31" s="1"/>
  <c r="G53" i="2"/>
  <c r="B7" i="30"/>
  <c r="A7" i="30" s="1"/>
  <c r="B33" i="33"/>
  <c r="A33" i="33" s="1"/>
  <c r="X1" i="33"/>
  <c r="W1" i="33"/>
  <c r="F54" i="2"/>
  <c r="B5" i="50"/>
  <c r="A5" i="50" s="1"/>
  <c r="J50" i="2"/>
  <c r="B32" i="32"/>
  <c r="A32" i="32" s="1"/>
  <c r="Y1" i="33" l="1"/>
  <c r="J51" i="2"/>
  <c r="B30" i="31"/>
  <c r="A30" i="31" s="1"/>
  <c r="H53" i="2"/>
  <c r="B9" i="30"/>
  <c r="A9" i="30" s="1"/>
  <c r="G54" i="2"/>
  <c r="B7" i="50"/>
  <c r="A7" i="50" s="1"/>
  <c r="B36" i="32"/>
  <c r="W1" i="32"/>
  <c r="X1" i="32"/>
  <c r="I52" i="2"/>
  <c r="B22" i="29"/>
  <c r="A22" i="29" s="1"/>
  <c r="A36" i="32" l="1"/>
  <c r="Y1" i="32"/>
  <c r="I53" i="2"/>
  <c r="B11" i="30"/>
  <c r="A11" i="30" s="1"/>
  <c r="J52" i="2"/>
  <c r="B28" i="29"/>
  <c r="A28" i="29" s="1"/>
  <c r="H54" i="2"/>
  <c r="B9" i="50"/>
  <c r="A9" i="50" s="1"/>
  <c r="B33" i="31"/>
  <c r="A33" i="31" s="1"/>
  <c r="W1" i="31"/>
  <c r="X1" i="31"/>
  <c r="Y1" i="31" l="1"/>
  <c r="B31" i="29"/>
  <c r="X1" i="29"/>
  <c r="W1" i="29"/>
  <c r="I54" i="2"/>
  <c r="B11" i="50"/>
  <c r="A11" i="50" s="1"/>
  <c r="J53" i="2"/>
  <c r="B13" i="30"/>
  <c r="A13" i="30" s="1"/>
  <c r="A31" i="29" l="1"/>
  <c r="Y1" i="29"/>
  <c r="J54" i="2"/>
  <c r="B13" i="50"/>
  <c r="A13" i="50" s="1"/>
  <c r="B15" i="30"/>
  <c r="A15" i="30" s="1"/>
  <c r="X1" i="30"/>
  <c r="W1" i="30"/>
  <c r="Y1" i="30" l="1"/>
  <c r="X1" i="50"/>
  <c r="B15" i="50"/>
  <c r="W1" i="50"/>
  <c r="A15" i="50" l="1"/>
  <c r="AQ2" i="79" a="1"/>
  <c r="A2" i="79" a="1"/>
  <c r="A2" i="79" s="1"/>
  <c r="N2" i="79" a="1"/>
  <c r="A96" i="80"/>
  <c r="A104" i="80"/>
  <c r="B94" i="80"/>
  <c r="C100" i="80"/>
  <c r="D98" i="80"/>
  <c r="E104" i="80"/>
  <c r="F102" i="80"/>
  <c r="I104" i="80"/>
  <c r="B95" i="80"/>
  <c r="G93" i="80"/>
  <c r="A98" i="80"/>
  <c r="B96" i="80"/>
  <c r="B104" i="80"/>
  <c r="C94" i="80"/>
  <c r="C102" i="80"/>
  <c r="D100" i="80"/>
  <c r="E98" i="80"/>
  <c r="F96" i="80"/>
  <c r="F104" i="80"/>
  <c r="G94" i="80"/>
  <c r="G102" i="80"/>
  <c r="H100" i="80"/>
  <c r="I98" i="80"/>
  <c r="B98" i="80"/>
  <c r="C104" i="80"/>
  <c r="D94" i="80"/>
  <c r="G96" i="80"/>
  <c r="H94" i="80"/>
  <c r="I100" i="80"/>
  <c r="A99" i="80"/>
  <c r="B97" i="80"/>
  <c r="C95" i="80"/>
  <c r="C103" i="80"/>
  <c r="D93" i="80"/>
  <c r="D101" i="80"/>
  <c r="E99" i="80"/>
  <c r="F97" i="80"/>
  <c r="G95" i="80"/>
  <c r="G103" i="80"/>
  <c r="H93" i="80"/>
  <c r="H101" i="80"/>
  <c r="I99" i="80"/>
  <c r="C96" i="80"/>
  <c r="D102" i="80"/>
  <c r="E100" i="80"/>
  <c r="F98" i="80"/>
  <c r="G104" i="80"/>
  <c r="H102" i="80"/>
  <c r="A93" i="80"/>
  <c r="A101" i="80"/>
  <c r="B99" i="80"/>
  <c r="C97" i="80"/>
  <c r="D103" i="80"/>
  <c r="E93" i="80"/>
  <c r="F99" i="80"/>
  <c r="H95" i="80"/>
  <c r="I93" i="80"/>
  <c r="C101" i="80"/>
  <c r="D99" i="80"/>
  <c r="G101" i="80"/>
  <c r="H99" i="80"/>
  <c r="A100" i="80"/>
  <c r="D95" i="80"/>
  <c r="E101" i="80"/>
  <c r="G97" i="80"/>
  <c r="H103" i="80"/>
  <c r="I101" i="80"/>
  <c r="C93" i="80"/>
  <c r="F95" i="80"/>
  <c r="I97" i="80"/>
  <c r="A94" i="80"/>
  <c r="A102" i="80"/>
  <c r="B100" i="80"/>
  <c r="C98" i="80"/>
  <c r="D96" i="80"/>
  <c r="D104" i="80"/>
  <c r="E94" i="80"/>
  <c r="E102" i="80"/>
  <c r="F100" i="80"/>
  <c r="G98" i="80"/>
  <c r="H96" i="80"/>
  <c r="H104" i="80"/>
  <c r="I94" i="80"/>
  <c r="I102" i="80"/>
  <c r="A95" i="80"/>
  <c r="A103" i="80"/>
  <c r="B93" i="80"/>
  <c r="B101" i="80"/>
  <c r="C99" i="80"/>
  <c r="D97" i="80"/>
  <c r="E95" i="80"/>
  <c r="E103" i="80"/>
  <c r="F93" i="80"/>
  <c r="F101" i="80"/>
  <c r="G99" i="80"/>
  <c r="H97" i="80"/>
  <c r="I95" i="80"/>
  <c r="I103" i="80"/>
  <c r="B102" i="80"/>
  <c r="E96" i="80"/>
  <c r="F94" i="80"/>
  <c r="G100" i="80"/>
  <c r="H98" i="80"/>
  <c r="I96" i="80"/>
  <c r="A97" i="80"/>
  <c r="B103" i="80"/>
  <c r="E97" i="80"/>
  <c r="F103" i="80"/>
  <c r="A71" i="80"/>
  <c r="A79" i="80"/>
  <c r="A87" i="80"/>
  <c r="B71" i="80"/>
  <c r="B79" i="80"/>
  <c r="B87" i="80"/>
  <c r="C71" i="80"/>
  <c r="C79" i="80"/>
  <c r="C87" i="80"/>
  <c r="D71" i="80"/>
  <c r="D79" i="80"/>
  <c r="D87" i="80"/>
  <c r="E71" i="80"/>
  <c r="E79" i="80"/>
  <c r="E87" i="80"/>
  <c r="F71" i="80"/>
  <c r="F79" i="80"/>
  <c r="F87" i="80"/>
  <c r="G71" i="80"/>
  <c r="G79" i="80"/>
  <c r="G87" i="80"/>
  <c r="H71" i="80"/>
  <c r="H79" i="80"/>
  <c r="H87" i="80"/>
  <c r="I71" i="80"/>
  <c r="I79" i="80"/>
  <c r="I87" i="80"/>
  <c r="G77" i="80"/>
  <c r="I77" i="80"/>
  <c r="A86" i="80"/>
  <c r="F86" i="80"/>
  <c r="I78" i="80"/>
  <c r="A72" i="80"/>
  <c r="A80" i="80"/>
  <c r="A88" i="80"/>
  <c r="B72" i="80"/>
  <c r="B80" i="80"/>
  <c r="B88" i="80"/>
  <c r="C72" i="80"/>
  <c r="C80" i="80"/>
  <c r="C88" i="80"/>
  <c r="D72" i="80"/>
  <c r="D80" i="80"/>
  <c r="D88" i="80"/>
  <c r="E72" i="80"/>
  <c r="E80" i="80"/>
  <c r="E88" i="80"/>
  <c r="F72" i="80"/>
  <c r="F80" i="80"/>
  <c r="F88" i="80"/>
  <c r="G72" i="80"/>
  <c r="G80" i="80"/>
  <c r="G88" i="80"/>
  <c r="H72" i="80"/>
  <c r="H80" i="80"/>
  <c r="H88" i="80"/>
  <c r="I72" i="80"/>
  <c r="I80" i="80"/>
  <c r="I88" i="80"/>
  <c r="E85" i="80"/>
  <c r="A78" i="80"/>
  <c r="C86" i="80"/>
  <c r="E86" i="80"/>
  <c r="H78" i="80"/>
  <c r="A73" i="80"/>
  <c r="A81" i="80"/>
  <c r="A89" i="80"/>
  <c r="B73" i="80"/>
  <c r="B81" i="80"/>
  <c r="B89" i="80"/>
  <c r="C73" i="80"/>
  <c r="C81" i="80"/>
  <c r="C89" i="80"/>
  <c r="D73" i="80"/>
  <c r="D81" i="80"/>
  <c r="D89" i="80"/>
  <c r="E73" i="80"/>
  <c r="E81" i="80"/>
  <c r="E89" i="80"/>
  <c r="F73" i="80"/>
  <c r="F81" i="80"/>
  <c r="F89" i="80"/>
  <c r="G73" i="80"/>
  <c r="G81" i="80"/>
  <c r="G89" i="80"/>
  <c r="H73" i="80"/>
  <c r="H81" i="80"/>
  <c r="H89" i="80"/>
  <c r="I73" i="80"/>
  <c r="I81" i="80"/>
  <c r="I89" i="80"/>
  <c r="F85" i="80"/>
  <c r="B86" i="80"/>
  <c r="D86" i="80"/>
  <c r="E78" i="80"/>
  <c r="G86" i="80"/>
  <c r="H86" i="80"/>
  <c r="A74" i="80"/>
  <c r="A82" i="80"/>
  <c r="A90" i="80"/>
  <c r="B74" i="80"/>
  <c r="B82" i="80"/>
  <c r="B90" i="80"/>
  <c r="C74" i="80"/>
  <c r="C82" i="80"/>
  <c r="C90" i="80"/>
  <c r="D74" i="80"/>
  <c r="D82" i="80"/>
  <c r="D90" i="80"/>
  <c r="E74" i="80"/>
  <c r="E82" i="80"/>
  <c r="E90" i="80"/>
  <c r="F74" i="80"/>
  <c r="F82" i="80"/>
  <c r="F90" i="80"/>
  <c r="G74" i="80"/>
  <c r="G82" i="80"/>
  <c r="G90" i="80"/>
  <c r="H74" i="80"/>
  <c r="H82" i="80"/>
  <c r="H90" i="80"/>
  <c r="I74" i="80"/>
  <c r="I82" i="80"/>
  <c r="I90" i="80"/>
  <c r="H85" i="80"/>
  <c r="A75" i="80"/>
  <c r="A83" i="80"/>
  <c r="A91" i="80"/>
  <c r="B75" i="80"/>
  <c r="B83" i="80"/>
  <c r="B91" i="80"/>
  <c r="C75" i="80"/>
  <c r="C83" i="80"/>
  <c r="C91" i="80"/>
  <c r="D75" i="80"/>
  <c r="D83" i="80"/>
  <c r="D91" i="80"/>
  <c r="E75" i="80"/>
  <c r="E83" i="80"/>
  <c r="E91" i="80"/>
  <c r="F75" i="80"/>
  <c r="F83" i="80"/>
  <c r="F91" i="80"/>
  <c r="G75" i="80"/>
  <c r="G83" i="80"/>
  <c r="G91" i="80"/>
  <c r="H75" i="80"/>
  <c r="H83" i="80"/>
  <c r="H91" i="80"/>
  <c r="I75" i="80"/>
  <c r="I83" i="80"/>
  <c r="I91" i="80"/>
  <c r="A77" i="80"/>
  <c r="B77" i="80"/>
  <c r="B85" i="80"/>
  <c r="C77" i="80"/>
  <c r="C85" i="80"/>
  <c r="D77" i="80"/>
  <c r="D85" i="80"/>
  <c r="E77" i="80"/>
  <c r="F77" i="80"/>
  <c r="G85" i="80"/>
  <c r="H77" i="80"/>
  <c r="I85" i="80"/>
  <c r="F78" i="80"/>
  <c r="A76" i="80"/>
  <c r="A84" i="80"/>
  <c r="A92" i="80"/>
  <c r="B76" i="80"/>
  <c r="B84" i="80"/>
  <c r="B92" i="80"/>
  <c r="C76" i="80"/>
  <c r="C84" i="80"/>
  <c r="C92" i="80"/>
  <c r="D76" i="80"/>
  <c r="D84" i="80"/>
  <c r="D92" i="80"/>
  <c r="E76" i="80"/>
  <c r="E84" i="80"/>
  <c r="E92" i="80"/>
  <c r="F76" i="80"/>
  <c r="F84" i="80"/>
  <c r="F92" i="80"/>
  <c r="G76" i="80"/>
  <c r="G84" i="80"/>
  <c r="G92" i="80"/>
  <c r="H76" i="80"/>
  <c r="H84" i="80"/>
  <c r="H92" i="80"/>
  <c r="I76" i="80"/>
  <c r="I84" i="80"/>
  <c r="I92" i="80"/>
  <c r="A85" i="80"/>
  <c r="B78" i="80"/>
  <c r="C78" i="80"/>
  <c r="D78" i="80"/>
  <c r="G78" i="80"/>
  <c r="I86" i="80"/>
  <c r="G63" i="80"/>
  <c r="I56" i="80"/>
  <c r="I64" i="80"/>
  <c r="H57" i="80"/>
  <c r="H65" i="80"/>
  <c r="G58" i="80"/>
  <c r="G66" i="80"/>
  <c r="F59" i="80"/>
  <c r="F67" i="80"/>
  <c r="E60" i="80"/>
  <c r="E68" i="80"/>
  <c r="D61" i="80"/>
  <c r="D69" i="80"/>
  <c r="C62" i="80"/>
  <c r="C70" i="80"/>
  <c r="B63" i="80"/>
  <c r="A56" i="80"/>
  <c r="A64" i="80"/>
  <c r="I57" i="80"/>
  <c r="I65" i="80"/>
  <c r="H58" i="80"/>
  <c r="H66" i="80"/>
  <c r="G59" i="80"/>
  <c r="G67" i="80"/>
  <c r="F60" i="80"/>
  <c r="F68" i="80"/>
  <c r="E61" i="80"/>
  <c r="E69" i="80"/>
  <c r="D62" i="80"/>
  <c r="D70" i="80"/>
  <c r="C63" i="80"/>
  <c r="B56" i="80"/>
  <c r="B64" i="80"/>
  <c r="A57" i="80"/>
  <c r="A65" i="80"/>
  <c r="I58" i="80"/>
  <c r="I66" i="80"/>
  <c r="H59" i="80"/>
  <c r="H67" i="80"/>
  <c r="G60" i="80"/>
  <c r="G68" i="80"/>
  <c r="F61" i="80"/>
  <c r="F69" i="80"/>
  <c r="E62" i="80"/>
  <c r="E70" i="80"/>
  <c r="D63" i="80"/>
  <c r="C56" i="80"/>
  <c r="C64" i="80"/>
  <c r="B57" i="80"/>
  <c r="B65" i="80"/>
  <c r="A58" i="80"/>
  <c r="A66" i="80"/>
  <c r="I59" i="80"/>
  <c r="I67" i="80"/>
  <c r="H60" i="80"/>
  <c r="H68" i="80"/>
  <c r="G61" i="80"/>
  <c r="G69" i="80"/>
  <c r="F62" i="80"/>
  <c r="F70" i="80"/>
  <c r="E63" i="80"/>
  <c r="D56" i="80"/>
  <c r="D64" i="80"/>
  <c r="C57" i="80"/>
  <c r="C65" i="80"/>
  <c r="B58" i="80"/>
  <c r="B66" i="80"/>
  <c r="A59" i="80"/>
  <c r="A67" i="80"/>
  <c r="I60" i="80"/>
  <c r="I68" i="80"/>
  <c r="H61" i="80"/>
  <c r="H69" i="80"/>
  <c r="G62" i="80"/>
  <c r="G70" i="80"/>
  <c r="F63" i="80"/>
  <c r="E56" i="80"/>
  <c r="E64" i="80"/>
  <c r="D57" i="80"/>
  <c r="D65" i="80"/>
  <c r="C58" i="80"/>
  <c r="C66" i="80"/>
  <c r="B59" i="80"/>
  <c r="B67" i="80"/>
  <c r="A60" i="80"/>
  <c r="A68" i="80"/>
  <c r="I69" i="80"/>
  <c r="I62" i="80"/>
  <c r="I70" i="80"/>
  <c r="H63" i="80"/>
  <c r="G56" i="80"/>
  <c r="G64" i="80"/>
  <c r="F57" i="80"/>
  <c r="F65" i="80"/>
  <c r="E58" i="80"/>
  <c r="E66" i="80"/>
  <c r="D59" i="80"/>
  <c r="D67" i="80"/>
  <c r="C60" i="80"/>
  <c r="C68" i="80"/>
  <c r="B61" i="80"/>
  <c r="B69" i="80"/>
  <c r="A62" i="80"/>
  <c r="A70" i="80"/>
  <c r="I63" i="80"/>
  <c r="H56" i="80"/>
  <c r="H64" i="80"/>
  <c r="G57" i="80"/>
  <c r="G65" i="80"/>
  <c r="F58" i="80"/>
  <c r="F66" i="80"/>
  <c r="E59" i="80"/>
  <c r="E67" i="80"/>
  <c r="D60" i="80"/>
  <c r="D68" i="80"/>
  <c r="C61" i="80"/>
  <c r="C69" i="80"/>
  <c r="B62" i="80"/>
  <c r="B70" i="80"/>
  <c r="A63" i="80"/>
  <c r="I61" i="80"/>
  <c r="H62" i="80"/>
  <c r="H70" i="80"/>
  <c r="F56" i="80"/>
  <c r="F64" i="80"/>
  <c r="E57" i="80"/>
  <c r="E65" i="80"/>
  <c r="D58" i="80"/>
  <c r="D66" i="80"/>
  <c r="C59" i="80"/>
  <c r="C67" i="80"/>
  <c r="B60" i="80"/>
  <c r="B68" i="80"/>
  <c r="A61" i="80"/>
  <c r="A69" i="80"/>
  <c r="I47" i="80"/>
  <c r="I55" i="80"/>
  <c r="H48" i="80"/>
  <c r="G49" i="80"/>
  <c r="F50" i="80"/>
  <c r="E50" i="80"/>
  <c r="D43" i="80"/>
  <c r="D51" i="80"/>
  <c r="C44" i="80"/>
  <c r="C52" i="80"/>
  <c r="B45" i="80"/>
  <c r="B53" i="80"/>
  <c r="A46" i="80"/>
  <c r="A54" i="80"/>
  <c r="I52" i="80"/>
  <c r="G46" i="80"/>
  <c r="F49" i="80"/>
  <c r="I48" i="80"/>
  <c r="H49" i="80"/>
  <c r="G50" i="80"/>
  <c r="F43" i="80"/>
  <c r="F51" i="80"/>
  <c r="E43" i="80"/>
  <c r="E51" i="80"/>
  <c r="D44" i="80"/>
  <c r="D52" i="80"/>
  <c r="C45" i="80"/>
  <c r="C53" i="80"/>
  <c r="B46" i="80"/>
  <c r="B54" i="80"/>
  <c r="A47" i="80"/>
  <c r="A55" i="80"/>
  <c r="G54" i="80"/>
  <c r="E47" i="80"/>
  <c r="C49" i="80"/>
  <c r="A51" i="80"/>
  <c r="E49" i="80"/>
  <c r="B52" i="80"/>
  <c r="A53" i="80"/>
  <c r="I49" i="80"/>
  <c r="H50" i="80"/>
  <c r="G43" i="80"/>
  <c r="G51" i="80"/>
  <c r="F44" i="80"/>
  <c r="F52" i="80"/>
  <c r="E44" i="80"/>
  <c r="E52" i="80"/>
  <c r="D45" i="80"/>
  <c r="D53" i="80"/>
  <c r="C46" i="80"/>
  <c r="C54" i="80"/>
  <c r="B47" i="80"/>
  <c r="B55" i="80"/>
  <c r="A48" i="80"/>
  <c r="H53" i="80"/>
  <c r="F47" i="80"/>
  <c r="A43" i="80"/>
  <c r="C51" i="80"/>
  <c r="A45" i="80"/>
  <c r="I50" i="80"/>
  <c r="H43" i="80"/>
  <c r="H51" i="80"/>
  <c r="G44" i="80"/>
  <c r="G52" i="80"/>
  <c r="F45" i="80"/>
  <c r="F53" i="80"/>
  <c r="E45" i="80"/>
  <c r="E53" i="80"/>
  <c r="D46" i="80"/>
  <c r="D54" i="80"/>
  <c r="C47" i="80"/>
  <c r="C55" i="80"/>
  <c r="B48" i="80"/>
  <c r="A49" i="80"/>
  <c r="I44" i="80"/>
  <c r="F55" i="80"/>
  <c r="D48" i="80"/>
  <c r="B50" i="80"/>
  <c r="I43" i="80"/>
  <c r="I51" i="80"/>
  <c r="H44" i="80"/>
  <c r="H52" i="80"/>
  <c r="G45" i="80"/>
  <c r="G53" i="80"/>
  <c r="F46" i="80"/>
  <c r="F54" i="80"/>
  <c r="E46" i="80"/>
  <c r="E54" i="80"/>
  <c r="D47" i="80"/>
  <c r="D55" i="80"/>
  <c r="C48" i="80"/>
  <c r="B49" i="80"/>
  <c r="A50" i="80"/>
  <c r="H45" i="80"/>
  <c r="E55" i="80"/>
  <c r="D50" i="80"/>
  <c r="B44" i="80"/>
  <c r="I45" i="80"/>
  <c r="I53" i="80"/>
  <c r="H46" i="80"/>
  <c r="H54" i="80"/>
  <c r="G47" i="80"/>
  <c r="G55" i="80"/>
  <c r="F48" i="80"/>
  <c r="E48" i="80"/>
  <c r="D49" i="80"/>
  <c r="C50" i="80"/>
  <c r="B43" i="80"/>
  <c r="B51" i="80"/>
  <c r="A44" i="80"/>
  <c r="A52" i="80"/>
  <c r="I46" i="80"/>
  <c r="I54" i="80"/>
  <c r="H47" i="80"/>
  <c r="H55" i="80"/>
  <c r="G48" i="80"/>
  <c r="C43" i="80"/>
  <c r="Y1" i="50"/>
  <c r="AQ2" i="79" l="1"/>
  <c r="BA2" i="79" a="1"/>
  <c r="BA2" i="79" s="1"/>
  <c r="AA2" i="79" a="1"/>
  <c r="AA2" i="79" s="1"/>
  <c r="I67" i="81"/>
  <c r="I68" i="81"/>
  <c r="G68" i="81"/>
  <c r="E68" i="81"/>
  <c r="C68" i="81"/>
  <c r="A69" i="81"/>
  <c r="I69" i="81"/>
  <c r="G69" i="81"/>
  <c r="E69" i="81"/>
  <c r="C69" i="81"/>
  <c r="A68" i="81"/>
  <c r="A67" i="81"/>
  <c r="H67" i="81"/>
  <c r="F67" i="81"/>
  <c r="D67" i="81"/>
  <c r="B67" i="81"/>
  <c r="H68" i="81"/>
  <c r="F68" i="81"/>
  <c r="D68" i="81"/>
  <c r="B68" i="81"/>
  <c r="H69" i="81"/>
  <c r="F69" i="81"/>
  <c r="D69" i="81"/>
  <c r="B69" i="81"/>
  <c r="G67" i="81"/>
  <c r="E67" i="81"/>
  <c r="C67" i="81"/>
  <c r="I66" i="81"/>
  <c r="D66" i="81"/>
  <c r="G66" i="81"/>
  <c r="B66" i="81"/>
  <c r="F66" i="81"/>
  <c r="E66" i="81"/>
  <c r="A66" i="81"/>
  <c r="H66" i="81"/>
  <c r="C66" i="81"/>
  <c r="I65" i="81"/>
  <c r="B65" i="81"/>
  <c r="F65" i="81"/>
  <c r="C65" i="81"/>
  <c r="G65" i="81"/>
  <c r="A65" i="81"/>
  <c r="H65" i="81"/>
  <c r="D65" i="81"/>
  <c r="E65" i="81"/>
  <c r="G40" i="81"/>
  <c r="F40" i="81"/>
  <c r="N2" i="79"/>
  <c r="A40" i="81" s="1"/>
  <c r="I40" i="81"/>
  <c r="H40" i="81"/>
  <c r="E40" i="81"/>
  <c r="D40" i="81"/>
  <c r="C40" i="81"/>
  <c r="B40" i="81"/>
  <c r="A25" i="82"/>
  <c r="A35" i="82"/>
  <c r="C33" i="82"/>
  <c r="G17" i="82"/>
  <c r="E16" i="82"/>
  <c r="C31" i="82"/>
  <c r="D39" i="82"/>
  <c r="E30" i="82"/>
  <c r="C34" i="82"/>
  <c r="H34" i="82"/>
  <c r="D25" i="82"/>
  <c r="F25" i="82"/>
  <c r="H25" i="82"/>
  <c r="B24" i="82"/>
  <c r="D24" i="82"/>
  <c r="F24" i="82"/>
  <c r="H24" i="82"/>
  <c r="E26" i="82"/>
  <c r="C17" i="82"/>
  <c r="E39" i="82"/>
  <c r="H39" i="82"/>
  <c r="F26" i="82"/>
  <c r="A24" i="82"/>
  <c r="E31" i="82"/>
  <c r="B38" i="82"/>
  <c r="D38" i="82"/>
  <c r="F38" i="82"/>
  <c r="H38" i="82"/>
  <c r="B37" i="82"/>
  <c r="D37" i="82"/>
  <c r="F37" i="82"/>
  <c r="H37" i="82"/>
  <c r="B36" i="82"/>
  <c r="D36" i="82"/>
  <c r="F36" i="82"/>
  <c r="H28" i="82"/>
  <c r="B27" i="82"/>
  <c r="D27" i="82"/>
  <c r="F19" i="82"/>
  <c r="H19" i="82"/>
  <c r="D42" i="82"/>
  <c r="A42" i="82"/>
  <c r="D17" i="82"/>
  <c r="F17" i="82"/>
  <c r="H17" i="82"/>
  <c r="D16" i="82"/>
  <c r="F16" i="82"/>
  <c r="H16" i="82"/>
  <c r="F34" i="82"/>
  <c r="A40" i="82"/>
  <c r="E15" i="82"/>
  <c r="H31" i="82"/>
  <c r="G34" i="82"/>
  <c r="B31" i="82"/>
  <c r="E23" i="82"/>
  <c r="B30" i="82"/>
  <c r="D30" i="82"/>
  <c r="F30" i="82"/>
  <c r="H30" i="82"/>
  <c r="B29" i="82"/>
  <c r="D29" i="82"/>
  <c r="F29" i="82"/>
  <c r="H29" i="82"/>
  <c r="B28" i="82"/>
  <c r="D28" i="82"/>
  <c r="F28" i="82"/>
  <c r="H20" i="82"/>
  <c r="B19" i="82"/>
  <c r="D19" i="82"/>
  <c r="D26" i="82"/>
  <c r="A18" i="82"/>
  <c r="E41" i="82"/>
  <c r="G41" i="82"/>
  <c r="A41" i="82"/>
  <c r="C40" i="82"/>
  <c r="E40" i="82"/>
  <c r="G40" i="82"/>
  <c r="A27" i="82"/>
  <c r="A16" i="82"/>
  <c r="F31" i="82"/>
  <c r="H23" i="82"/>
  <c r="G18" i="82"/>
  <c r="F39" i="82"/>
  <c r="D22" i="82"/>
  <c r="B16" i="82"/>
  <c r="G42" i="82"/>
  <c r="B23" i="82"/>
  <c r="B22" i="82"/>
  <c r="F22" i="82"/>
  <c r="A11" i="82"/>
  <c r="E34" i="82"/>
  <c r="B41" i="82"/>
  <c r="E33" i="82"/>
  <c r="G33" i="82"/>
  <c r="A33" i="82"/>
  <c r="C32" i="82"/>
  <c r="E32" i="82"/>
  <c r="G32" i="82"/>
  <c r="B42" i="82"/>
  <c r="H42" i="82"/>
  <c r="B39" i="82"/>
  <c r="F23" i="82"/>
  <c r="H15" i="82"/>
  <c r="H26" i="82"/>
  <c r="C39" i="82"/>
  <c r="G31" i="82"/>
  <c r="B14" i="82"/>
  <c r="D14" i="82"/>
  <c r="F14" i="82"/>
  <c r="H14" i="82"/>
  <c r="B13" i="82"/>
  <c r="D13" i="82"/>
  <c r="F13" i="82"/>
  <c r="H13" i="82"/>
  <c r="B12" i="82"/>
  <c r="D12" i="82"/>
  <c r="F12" i="82"/>
  <c r="A36" i="82"/>
  <c r="C35" i="82"/>
  <c r="E35" i="82"/>
  <c r="G27" i="82"/>
  <c r="G12" i="82"/>
  <c r="E18" i="82"/>
  <c r="B25" i="82"/>
  <c r="E25" i="82"/>
  <c r="G25" i="82"/>
  <c r="C24" i="82"/>
  <c r="E24" i="82"/>
  <c r="G24" i="82"/>
  <c r="B18" i="82"/>
  <c r="H18" i="82"/>
  <c r="B15" i="82"/>
  <c r="F15" i="82"/>
  <c r="A19" i="82"/>
  <c r="A34" i="82"/>
  <c r="C23" i="82"/>
  <c r="A39" i="82"/>
  <c r="C38" i="82"/>
  <c r="E38" i="82"/>
  <c r="G38" i="82"/>
  <c r="A38" i="82"/>
  <c r="C37" i="82"/>
  <c r="E37" i="82"/>
  <c r="G37" i="82"/>
  <c r="A37" i="82"/>
  <c r="C36" i="82"/>
  <c r="E36" i="82"/>
  <c r="G36" i="82"/>
  <c r="A28" i="82"/>
  <c r="C27" i="82"/>
  <c r="E27" i="82"/>
  <c r="G19" i="82"/>
  <c r="F42" i="82"/>
  <c r="E17" i="82"/>
  <c r="A17" i="82"/>
  <c r="C16" i="82"/>
  <c r="G16" i="82"/>
  <c r="C26" i="82"/>
  <c r="A26" i="82"/>
  <c r="G39" i="82"/>
  <c r="B26" i="82"/>
  <c r="B17" i="82"/>
  <c r="A31" i="82"/>
  <c r="C30" i="82"/>
  <c r="G30" i="82"/>
  <c r="A30" i="82"/>
  <c r="C29" i="82"/>
  <c r="F41" i="82"/>
  <c r="F40" i="82"/>
  <c r="C15" i="82"/>
  <c r="D31" i="82"/>
  <c r="G22" i="82"/>
  <c r="D21" i="82"/>
  <c r="H21" i="82"/>
  <c r="D20" i="82"/>
  <c r="H12" i="82"/>
  <c r="D11" i="82"/>
  <c r="F33" i="82"/>
  <c r="F32" i="82"/>
  <c r="D23" i="82"/>
  <c r="D15" i="82"/>
  <c r="G14" i="82"/>
  <c r="E29" i="82"/>
  <c r="A29" i="82"/>
  <c r="E28" i="82"/>
  <c r="A20" i="82"/>
  <c r="E19" i="82"/>
  <c r="B34" i="82"/>
  <c r="H41" i="82"/>
  <c r="H40" i="82"/>
  <c r="G23" i="82"/>
  <c r="A23" i="82"/>
  <c r="H22" i="82"/>
  <c r="E21" i="82"/>
  <c r="A21" i="82"/>
  <c r="E20" i="82"/>
  <c r="A12" i="82"/>
  <c r="F35" i="82"/>
  <c r="C25" i="82"/>
  <c r="D40" i="82"/>
  <c r="D33" i="82"/>
  <c r="E22" i="82"/>
  <c r="G21" i="82"/>
  <c r="C20" i="82"/>
  <c r="C11" i="82"/>
  <c r="D32" i="82"/>
  <c r="A32" i="82"/>
  <c r="C13" i="82"/>
  <c r="C12" i="82"/>
  <c r="D35" i="82"/>
  <c r="C42" i="82"/>
  <c r="H33" i="82"/>
  <c r="H32" i="82"/>
  <c r="G15" i="82"/>
  <c r="A15" i="82"/>
  <c r="A22" i="82"/>
  <c r="E13" i="82"/>
  <c r="A13" i="82"/>
  <c r="E12" i="82"/>
  <c r="B35" i="82"/>
  <c r="F27" i="82"/>
  <c r="F18" i="82"/>
  <c r="B40" i="82"/>
  <c r="D34" i="82"/>
  <c r="C18" i="82"/>
  <c r="C22" i="82"/>
  <c r="A14" i="82"/>
  <c r="F21" i="82"/>
  <c r="B20" i="82"/>
  <c r="F20" i="82"/>
  <c r="B11" i="82"/>
  <c r="G35" i="82"/>
  <c r="G26" i="82"/>
  <c r="B32" i="82"/>
  <c r="E42" i="82"/>
  <c r="D18" i="82"/>
  <c r="C14" i="82"/>
  <c r="B21" i="82"/>
  <c r="G29" i="82"/>
  <c r="C28" i="82"/>
  <c r="G28" i="82"/>
  <c r="C19" i="82"/>
  <c r="B33" i="82"/>
  <c r="C21" i="82"/>
  <c r="G20" i="82"/>
  <c r="H35" i="82"/>
  <c r="D41" i="82"/>
  <c r="C41" i="82"/>
  <c r="E14" i="82"/>
  <c r="G13" i="82"/>
  <c r="H36" i="82"/>
  <c r="H27" i="82"/>
  <c r="K96" i="80"/>
  <c r="L96" i="80" s="1" a="1"/>
  <c r="L96" i="80" s="1"/>
  <c r="J96" i="80" s="1"/>
  <c r="I48" i="81"/>
  <c r="I56" i="81"/>
  <c r="I64" i="81"/>
  <c r="I47" i="81"/>
  <c r="I41" i="81"/>
  <c r="I49" i="81"/>
  <c r="I57" i="81"/>
  <c r="I55" i="81"/>
  <c r="I42" i="81"/>
  <c r="I50" i="81"/>
  <c r="I58" i="81"/>
  <c r="I43" i="81"/>
  <c r="I51" i="81"/>
  <c r="I59" i="81"/>
  <c r="I44" i="81"/>
  <c r="I52" i="81"/>
  <c r="I60" i="81"/>
  <c r="I46" i="81"/>
  <c r="I54" i="81"/>
  <c r="I62" i="81"/>
  <c r="I63" i="81"/>
  <c r="I45" i="81"/>
  <c r="I53" i="81"/>
  <c r="I61" i="81"/>
  <c r="H48" i="81"/>
  <c r="H56" i="81"/>
  <c r="H64" i="81"/>
  <c r="H41" i="81"/>
  <c r="H49" i="81"/>
  <c r="H57" i="81"/>
  <c r="H42" i="81"/>
  <c r="H50" i="81"/>
  <c r="H58" i="81"/>
  <c r="H46" i="81"/>
  <c r="H62" i="81"/>
  <c r="H55" i="81"/>
  <c r="H43" i="81"/>
  <c r="H51" i="81"/>
  <c r="H59" i="81"/>
  <c r="H45" i="81"/>
  <c r="H53" i="81"/>
  <c r="H61" i="81"/>
  <c r="H54" i="81"/>
  <c r="H44" i="81"/>
  <c r="H52" i="81"/>
  <c r="H60" i="81"/>
  <c r="H47" i="81"/>
  <c r="H63" i="81"/>
  <c r="G48" i="81"/>
  <c r="G56" i="81"/>
  <c r="G64" i="81"/>
  <c r="G45" i="81"/>
  <c r="G41" i="81"/>
  <c r="G49" i="81"/>
  <c r="G57" i="81"/>
  <c r="G46" i="81"/>
  <c r="G62" i="81"/>
  <c r="G55" i="81"/>
  <c r="G42" i="81"/>
  <c r="G50" i="81"/>
  <c r="G58" i="81"/>
  <c r="G53" i="81"/>
  <c r="G63" i="81"/>
  <c r="G43" i="81"/>
  <c r="G51" i="81"/>
  <c r="G59" i="81"/>
  <c r="G61" i="81"/>
  <c r="G54" i="81"/>
  <c r="G47" i="81"/>
  <c r="G44" i="81"/>
  <c r="G52" i="81"/>
  <c r="G60" i="81"/>
  <c r="F48" i="81"/>
  <c r="F56" i="81"/>
  <c r="F64" i="81"/>
  <c r="F50" i="81"/>
  <c r="F41" i="81"/>
  <c r="F49" i="81"/>
  <c r="F57" i="81"/>
  <c r="F42" i="81"/>
  <c r="F58" i="81"/>
  <c r="F43" i="81"/>
  <c r="F51" i="81"/>
  <c r="F59" i="81"/>
  <c r="F44" i="81"/>
  <c r="F52" i="81"/>
  <c r="F60" i="81"/>
  <c r="F45" i="81"/>
  <c r="F53" i="81"/>
  <c r="F61" i="81"/>
  <c r="F46" i="81"/>
  <c r="F54" i="81"/>
  <c r="F62" i="81"/>
  <c r="F47" i="81"/>
  <c r="F55" i="81"/>
  <c r="F63" i="81"/>
  <c r="E48" i="81"/>
  <c r="E56" i="81"/>
  <c r="E64" i="81"/>
  <c r="E41" i="81"/>
  <c r="E49" i="81"/>
  <c r="E57" i="81"/>
  <c r="E46" i="81"/>
  <c r="E42" i="81"/>
  <c r="E50" i="81"/>
  <c r="E58" i="81"/>
  <c r="E52" i="81"/>
  <c r="E55" i="81"/>
  <c r="E43" i="81"/>
  <c r="E51" i="81"/>
  <c r="E59" i="81"/>
  <c r="E44" i="81"/>
  <c r="E60" i="81"/>
  <c r="E45" i="81"/>
  <c r="E53" i="81"/>
  <c r="E61" i="81"/>
  <c r="E54" i="81"/>
  <c r="E62" i="81"/>
  <c r="E47" i="81"/>
  <c r="E63" i="81"/>
  <c r="D48" i="81"/>
  <c r="D56" i="81"/>
  <c r="D64" i="81"/>
  <c r="D47" i="81"/>
  <c r="D41" i="81"/>
  <c r="D49" i="81"/>
  <c r="D57" i="81"/>
  <c r="D42" i="81"/>
  <c r="D50" i="81"/>
  <c r="D58" i="81"/>
  <c r="D43" i="81"/>
  <c r="D51" i="81"/>
  <c r="D59" i="81"/>
  <c r="D63" i="81"/>
  <c r="D44" i="81"/>
  <c r="D52" i="81"/>
  <c r="D60" i="81"/>
  <c r="D46" i="81"/>
  <c r="D45" i="81"/>
  <c r="D53" i="81"/>
  <c r="D61" i="81"/>
  <c r="D54" i="81"/>
  <c r="D62" i="81"/>
  <c r="D55" i="81"/>
  <c r="C48" i="81"/>
  <c r="C56" i="81"/>
  <c r="C64" i="81"/>
  <c r="C55" i="81"/>
  <c r="C41" i="81"/>
  <c r="C49" i="81"/>
  <c r="C57" i="81"/>
  <c r="C42" i="81"/>
  <c r="C50" i="81"/>
  <c r="C58" i="81"/>
  <c r="C63" i="81"/>
  <c r="C43" i="81"/>
  <c r="C51" i="81"/>
  <c r="C59" i="81"/>
  <c r="C53" i="81"/>
  <c r="C46" i="81"/>
  <c r="C54" i="81"/>
  <c r="C62" i="81"/>
  <c r="C44" i="81"/>
  <c r="C52" i="81"/>
  <c r="C60" i="81"/>
  <c r="C45" i="81"/>
  <c r="C61" i="81"/>
  <c r="C47" i="81"/>
  <c r="B48" i="81"/>
  <c r="B56" i="81"/>
  <c r="B64" i="81"/>
  <c r="B41" i="81"/>
  <c r="B49" i="81"/>
  <c r="B57" i="81"/>
  <c r="B44" i="81"/>
  <c r="B62" i="81"/>
  <c r="B42" i="81"/>
  <c r="B50" i="81"/>
  <c r="B58" i="81"/>
  <c r="B52" i="81"/>
  <c r="B46" i="81"/>
  <c r="B55" i="81"/>
  <c r="B43" i="81"/>
  <c r="B51" i="81"/>
  <c r="B59" i="81"/>
  <c r="B60" i="81"/>
  <c r="B54" i="81"/>
  <c r="B47" i="81"/>
  <c r="B63" i="81"/>
  <c r="B45" i="81"/>
  <c r="B53" i="81"/>
  <c r="B61" i="81"/>
  <c r="A62" i="81"/>
  <c r="A54" i="81"/>
  <c r="A46" i="81"/>
  <c r="A61" i="81"/>
  <c r="A53" i="81"/>
  <c r="A45" i="81"/>
  <c r="A60" i="81"/>
  <c r="A52" i="81"/>
  <c r="A44" i="81"/>
  <c r="A56" i="81"/>
  <c r="A59" i="81"/>
  <c r="A51" i="81"/>
  <c r="A43" i="81"/>
  <c r="A58" i="81"/>
  <c r="A50" i="81"/>
  <c r="A42" i="81"/>
  <c r="A57" i="81"/>
  <c r="A49" i="81"/>
  <c r="A41" i="81"/>
  <c r="A48" i="81"/>
  <c r="A63" i="81"/>
  <c r="A55" i="81"/>
  <c r="A47" i="81"/>
  <c r="A64" i="81"/>
  <c r="K104" i="80"/>
  <c r="L104" i="80" s="1" a="1"/>
  <c r="L104" i="80" s="1"/>
  <c r="J104" i="80" s="1"/>
  <c r="K86" i="80"/>
  <c r="L86" i="80" s="1" a="1"/>
  <c r="L86" i="80" s="1"/>
  <c r="J86" i="80" s="1"/>
  <c r="K95" i="80"/>
  <c r="L95" i="80" s="1" a="1"/>
  <c r="L95" i="80" s="1"/>
  <c r="J95" i="80" s="1"/>
  <c r="K103" i="80"/>
  <c r="L103" i="80" s="1" a="1"/>
  <c r="L103" i="80" s="1"/>
  <c r="J103" i="80" s="1"/>
  <c r="K84" i="80"/>
  <c r="L84" i="80" s="1" a="1"/>
  <c r="L84" i="80" s="1"/>
  <c r="J84" i="80" s="1"/>
  <c r="K83" i="80"/>
  <c r="L83" i="80" s="1" a="1"/>
  <c r="L83" i="80" s="1"/>
  <c r="J83" i="80" s="1"/>
  <c r="K97" i="80"/>
  <c r="L97" i="80" s="1" a="1"/>
  <c r="L97" i="80" s="1"/>
  <c r="J97" i="80" s="1"/>
  <c r="K94" i="80"/>
  <c r="L94" i="80" s="1" a="1"/>
  <c r="L94" i="80" s="1"/>
  <c r="J94" i="80" s="1"/>
  <c r="K102" i="80"/>
  <c r="L102" i="80" s="1" a="1"/>
  <c r="L102" i="80" s="1"/>
  <c r="J102" i="80" s="1"/>
  <c r="K98" i="80"/>
  <c r="L98" i="80" s="1" a="1"/>
  <c r="L98" i="80" s="1"/>
  <c r="J98" i="80" s="1"/>
  <c r="K100" i="80"/>
  <c r="L100" i="80" s="1" a="1"/>
  <c r="L100" i="80" s="1"/>
  <c r="J100" i="80" s="1"/>
  <c r="K99" i="80"/>
  <c r="L99" i="80" s="1" a="1"/>
  <c r="L99" i="80" s="1"/>
  <c r="J99" i="80" s="1"/>
  <c r="K101" i="80"/>
  <c r="L101" i="80" s="1" a="1"/>
  <c r="L101" i="80" s="1"/>
  <c r="J101" i="80" s="1"/>
  <c r="K93" i="80"/>
  <c r="L93" i="80" s="1" a="1"/>
  <c r="L93" i="80" s="1"/>
  <c r="J93" i="80" s="1"/>
  <c r="K56" i="80"/>
  <c r="L56" i="80" s="1" a="1"/>
  <c r="L56" i="80" s="1"/>
  <c r="J56" i="80" s="1"/>
  <c r="K63" i="80"/>
  <c r="L63" i="80" s="1" a="1"/>
  <c r="L63" i="80" s="1"/>
  <c r="J63" i="80" s="1"/>
  <c r="K76" i="80"/>
  <c r="L76" i="80" s="1" a="1"/>
  <c r="L76" i="80" s="1"/>
  <c r="J76" i="80" s="1"/>
  <c r="K85" i="80"/>
  <c r="L85" i="80" s="1" a="1"/>
  <c r="L85" i="80" s="1"/>
  <c r="J85" i="80" s="1"/>
  <c r="K77" i="80"/>
  <c r="L77" i="80" s="1" a="1"/>
  <c r="L77" i="80" s="1"/>
  <c r="J77" i="80" s="1"/>
  <c r="K75" i="80"/>
  <c r="L75" i="80" s="1" a="1"/>
  <c r="L75" i="80" s="1"/>
  <c r="J75" i="80" s="1"/>
  <c r="K70" i="80"/>
  <c r="L70" i="80" s="1" a="1"/>
  <c r="L70" i="80" s="1"/>
  <c r="J70" i="80" s="1"/>
  <c r="K58" i="80"/>
  <c r="L58" i="80" s="1" a="1"/>
  <c r="L58" i="80" s="1"/>
  <c r="J58" i="80" s="1"/>
  <c r="K65" i="80"/>
  <c r="L65" i="80" s="1" a="1"/>
  <c r="L65" i="80" s="1"/>
  <c r="J65" i="80" s="1"/>
  <c r="K73" i="80"/>
  <c r="K72" i="80"/>
  <c r="L72" i="80" s="1" a="1"/>
  <c r="L72" i="80" s="1"/>
  <c r="J72" i="80" s="1"/>
  <c r="K90" i="80"/>
  <c r="K78" i="80"/>
  <c r="K82" i="80"/>
  <c r="K89" i="80"/>
  <c r="K88" i="80"/>
  <c r="K87" i="80"/>
  <c r="K48" i="80"/>
  <c r="L48" i="80" s="1" a="1"/>
  <c r="L48" i="80" s="1"/>
  <c r="J48" i="80" s="1"/>
  <c r="K74" i="80"/>
  <c r="K81" i="80"/>
  <c r="K80" i="80"/>
  <c r="K79" i="80"/>
  <c r="K71" i="80"/>
  <c r="K46" i="80"/>
  <c r="L46" i="80" s="1" a="1"/>
  <c r="L46" i="80" s="1"/>
  <c r="J46" i="80" s="1"/>
  <c r="K53" i="80"/>
  <c r="L53" i="80" s="1" a="1"/>
  <c r="L53" i="80" s="1"/>
  <c r="J53" i="80" s="1"/>
  <c r="K68" i="80"/>
  <c r="L68" i="80" s="1" a="1"/>
  <c r="L68" i="80" s="1"/>
  <c r="J68" i="80" s="1"/>
  <c r="K92" i="80"/>
  <c r="K91" i="80"/>
  <c r="K57" i="80"/>
  <c r="L57" i="80" s="1" a="1"/>
  <c r="L57" i="80" s="1"/>
  <c r="J57" i="80" s="1"/>
  <c r="K64" i="80"/>
  <c r="L64" i="80" s="1" a="1"/>
  <c r="L64" i="80" s="1"/>
  <c r="J64" i="80" s="1"/>
  <c r="K62" i="80"/>
  <c r="L62" i="80" s="1" a="1"/>
  <c r="L62" i="80" s="1"/>
  <c r="J62" i="80" s="1"/>
  <c r="K69" i="80"/>
  <c r="K61" i="80"/>
  <c r="L61" i="80" s="1" a="1"/>
  <c r="L61" i="80" s="1"/>
  <c r="J61" i="80" s="1"/>
  <c r="K55" i="80"/>
  <c r="L55" i="80" s="1" a="1"/>
  <c r="L55" i="80" s="1"/>
  <c r="J55" i="80" s="1"/>
  <c r="K45" i="80"/>
  <c r="L45" i="80" s="1" a="1"/>
  <c r="L45" i="80" s="1"/>
  <c r="J45" i="80" s="1"/>
  <c r="K52" i="80"/>
  <c r="L52" i="80" s="1" a="1"/>
  <c r="L52" i="80" s="1"/>
  <c r="J52" i="80" s="1"/>
  <c r="K60" i="80"/>
  <c r="L60" i="80" s="1" a="1"/>
  <c r="L60" i="80" s="1"/>
  <c r="J60" i="80" s="1"/>
  <c r="K67" i="80"/>
  <c r="L67" i="80" s="1" a="1"/>
  <c r="L67" i="80" s="1"/>
  <c r="J67" i="80" s="1"/>
  <c r="K49" i="80"/>
  <c r="L49" i="80" s="1" a="1"/>
  <c r="L49" i="80" s="1"/>
  <c r="J49" i="80" s="1"/>
  <c r="K47" i="80"/>
  <c r="L47" i="80" s="1" a="1"/>
  <c r="L47" i="80" s="1"/>
  <c r="J47" i="80" s="1"/>
  <c r="K44" i="80"/>
  <c r="L44" i="80" s="1" a="1"/>
  <c r="L44" i="80" s="1"/>
  <c r="J44" i="80" s="1"/>
  <c r="K66" i="80"/>
  <c r="L66" i="80" s="1" a="1"/>
  <c r="L66" i="80" s="1"/>
  <c r="J66" i="80" s="1"/>
  <c r="K59" i="80"/>
  <c r="L59" i="80" s="1" a="1"/>
  <c r="L59" i="80" s="1"/>
  <c r="J59" i="80" s="1"/>
  <c r="K50" i="80"/>
  <c r="L50" i="80" s="1" a="1"/>
  <c r="L50" i="80" s="1"/>
  <c r="J50" i="80" s="1"/>
  <c r="K54" i="80"/>
  <c r="L54" i="80" s="1" a="1"/>
  <c r="L54" i="80" s="1"/>
  <c r="J54" i="80" s="1"/>
  <c r="K51" i="80"/>
  <c r="L51" i="80" s="1" a="1"/>
  <c r="L51" i="80" s="1"/>
  <c r="J51" i="80" s="1"/>
  <c r="K43" i="80"/>
  <c r="L43" i="80" s="1" a="1"/>
  <c r="L43" i="80" s="1"/>
  <c r="J43" i="80" s="1"/>
  <c r="K65" i="81" l="1"/>
  <c r="L65" i="81" s="1" a="1"/>
  <c r="L65" i="81" s="1"/>
  <c r="J65" i="81" s="1"/>
  <c r="K68" i="81"/>
  <c r="L68" i="81" s="1" a="1"/>
  <c r="L68" i="81" s="1"/>
  <c r="J68" i="81" s="1"/>
  <c r="K67" i="81"/>
  <c r="L67" i="81" s="1" a="1"/>
  <c r="L67" i="81" s="1"/>
  <c r="J67" i="81" s="1"/>
  <c r="K69" i="81"/>
  <c r="L69" i="81" s="1" a="1"/>
  <c r="L69" i="81" s="1"/>
  <c r="J69" i="81" s="1"/>
  <c r="K66" i="81"/>
  <c r="L66" i="81" s="1" a="1"/>
  <c r="L66" i="81" s="1"/>
  <c r="J66" i="81" s="1"/>
  <c r="J31" i="82"/>
  <c r="I31" i="82" s="1" a="1"/>
  <c r="I31" i="82" s="1"/>
  <c r="J18" i="82"/>
  <c r="I18" i="82" s="1" a="1"/>
  <c r="I18" i="82" s="1"/>
  <c r="J32" i="82"/>
  <c r="I32" i="82" s="1" a="1"/>
  <c r="I32" i="82" s="1"/>
  <c r="J15" i="82"/>
  <c r="I15" i="82" s="1" a="1"/>
  <c r="I15" i="82" s="1"/>
  <c r="J34" i="82"/>
  <c r="I34" i="82" s="1" a="1"/>
  <c r="I34" i="82" s="1"/>
  <c r="J23" i="82"/>
  <c r="I23" i="82" s="1" a="1"/>
  <c r="I23" i="82" s="1"/>
  <c r="J35" i="82"/>
  <c r="I35" i="82" s="1" a="1"/>
  <c r="I35" i="82" s="1"/>
  <c r="J33" i="82"/>
  <c r="I33" i="82" s="1" a="1"/>
  <c r="I33" i="82" s="1"/>
  <c r="J12" i="82"/>
  <c r="I12" i="82" s="1" a="1"/>
  <c r="I12" i="82" s="1"/>
  <c r="J14" i="82"/>
  <c r="I14" i="82" s="1" a="1"/>
  <c r="I14" i="82" s="1"/>
  <c r="J22" i="82"/>
  <c r="I22" i="82" s="1" a="1"/>
  <c r="I22" i="82" s="1"/>
  <c r="J24" i="82"/>
  <c r="I24" i="82" s="1" a="1"/>
  <c r="I24" i="82" s="1"/>
  <c r="J39" i="82"/>
  <c r="I39" i="82" s="1" a="1"/>
  <c r="I39" i="82" s="1"/>
  <c r="J11" i="82"/>
  <c r="I11" i="82" s="1" a="1"/>
  <c r="I11" i="82" s="1"/>
  <c r="B41" i="80"/>
  <c r="F41" i="80"/>
  <c r="E41" i="80"/>
  <c r="G41" i="80"/>
  <c r="C41" i="80"/>
  <c r="D42" i="80"/>
  <c r="I42" i="80"/>
  <c r="A42" i="80"/>
  <c r="F42" i="80"/>
  <c r="D41" i="80"/>
  <c r="A41" i="80"/>
  <c r="I41" i="80"/>
  <c r="E42" i="80"/>
  <c r="H41" i="80"/>
  <c r="C42" i="80"/>
  <c r="H42" i="80"/>
  <c r="B42" i="80"/>
  <c r="G42" i="80"/>
  <c r="J17" i="82"/>
  <c r="I17" i="82" s="1" a="1"/>
  <c r="I17" i="82" s="1"/>
  <c r="J40" i="82"/>
  <c r="I40" i="82" s="1" a="1"/>
  <c r="I40" i="82" s="1"/>
  <c r="J19" i="82"/>
  <c r="I19" i="82" s="1" a="1"/>
  <c r="I19" i="82" s="1"/>
  <c r="J29" i="82"/>
  <c r="I29" i="82" s="1" a="1"/>
  <c r="I29" i="82" s="1"/>
  <c r="J27" i="82"/>
  <c r="I27" i="82" s="1" a="1"/>
  <c r="I27" i="82" s="1"/>
  <c r="J37" i="82"/>
  <c r="I37" i="82" s="1" a="1"/>
  <c r="I37" i="82" s="1"/>
  <c r="J16" i="82"/>
  <c r="I16" i="82" s="1" a="1"/>
  <c r="I16" i="82" s="1"/>
  <c r="J41" i="82"/>
  <c r="I41" i="82" s="1" a="1"/>
  <c r="I41" i="82" s="1"/>
  <c r="J13" i="82"/>
  <c r="I13" i="82" s="1" a="1"/>
  <c r="I13" i="82" s="1"/>
  <c r="J25" i="82"/>
  <c r="I25" i="82" s="1" a="1"/>
  <c r="I25" i="82" s="1"/>
  <c r="J20" i="82"/>
  <c r="I20" i="82" s="1" a="1"/>
  <c r="I20" i="82" s="1"/>
  <c r="J28" i="82"/>
  <c r="I28" i="82" s="1" a="1"/>
  <c r="I28" i="82" s="1"/>
  <c r="J30" i="82"/>
  <c r="I30" i="82" s="1" a="1"/>
  <c r="I30" i="82" s="1"/>
  <c r="J42" i="82"/>
  <c r="I42" i="82" s="1" a="1"/>
  <c r="I42" i="82" s="1"/>
  <c r="J36" i="82"/>
  <c r="I36" i="82" s="1" a="1"/>
  <c r="I36" i="82" s="1"/>
  <c r="J38" i="82"/>
  <c r="I38" i="82" s="1" a="1"/>
  <c r="I38" i="82" s="1"/>
  <c r="J21" i="82"/>
  <c r="I21" i="82" s="1" a="1"/>
  <c r="I21" i="82" s="1"/>
  <c r="J26" i="82"/>
  <c r="I26" i="82" s="1" a="1"/>
  <c r="I26" i="82" s="1"/>
  <c r="K47" i="81"/>
  <c r="L47" i="81" s="1" a="1"/>
  <c r="L47" i="81" s="1"/>
  <c r="J47" i="81" s="1"/>
  <c r="K49" i="81"/>
  <c r="L49" i="81" s="1" a="1"/>
  <c r="L49" i="81" s="1"/>
  <c r="J49" i="81" s="1"/>
  <c r="K61" i="81"/>
  <c r="L61" i="81" s="1" a="1"/>
  <c r="L61" i="81" s="1"/>
  <c r="J61" i="81" s="1"/>
  <c r="K53" i="81"/>
  <c r="L53" i="81" s="1" a="1"/>
  <c r="L53" i="81" s="1"/>
  <c r="J53" i="81" s="1"/>
  <c r="K45" i="81"/>
  <c r="L45" i="81" s="1" a="1"/>
  <c r="L45" i="81" s="1"/>
  <c r="J45" i="81" s="1"/>
  <c r="K43" i="81"/>
  <c r="L43" i="81" s="1" a="1"/>
  <c r="L43" i="81" s="1"/>
  <c r="J43" i="81" s="1"/>
  <c r="K51" i="81"/>
  <c r="L51" i="81" s="1" a="1"/>
  <c r="L51" i="81" s="1"/>
  <c r="J51" i="81" s="1"/>
  <c r="K42" i="81"/>
  <c r="L42" i="81" s="1" a="1"/>
  <c r="L42" i="81" s="1"/>
  <c r="J42" i="81" s="1"/>
  <c r="K58" i="81"/>
  <c r="L58" i="81" s="1" a="1"/>
  <c r="L58" i="81" s="1"/>
  <c r="J58" i="81" s="1"/>
  <c r="K55" i="81"/>
  <c r="L55" i="81" s="1" a="1"/>
  <c r="L55" i="81" s="1"/>
  <c r="J55" i="81" s="1"/>
  <c r="K48" i="81"/>
  <c r="L48" i="81" s="1" a="1"/>
  <c r="L48" i="81" s="1"/>
  <c r="J48" i="81" s="1"/>
  <c r="K54" i="81"/>
  <c r="L54" i="81" s="1" a="1"/>
  <c r="L54" i="81" s="1"/>
  <c r="J54" i="81" s="1"/>
  <c r="K60" i="81"/>
  <c r="L60" i="81" s="1" a="1"/>
  <c r="L60" i="81" s="1"/>
  <c r="J60" i="81" s="1"/>
  <c r="K40" i="81"/>
  <c r="L40" i="81" s="1" a="1"/>
  <c r="L40" i="81" s="1"/>
  <c r="J40" i="81" s="1"/>
  <c r="K46" i="81"/>
  <c r="L46" i="81" s="1" a="1"/>
  <c r="L46" i="81" s="1"/>
  <c r="J46" i="81" s="1"/>
  <c r="K63" i="81"/>
  <c r="L63" i="81" s="1" a="1"/>
  <c r="L63" i="81" s="1"/>
  <c r="J63" i="81" s="1"/>
  <c r="K62" i="81"/>
  <c r="L62" i="81" s="1" a="1"/>
  <c r="L62" i="81" s="1"/>
  <c r="J62" i="81" s="1"/>
  <c r="K64" i="81"/>
  <c r="L64" i="81" s="1" a="1"/>
  <c r="L64" i="81" s="1"/>
  <c r="J64" i="81" s="1"/>
  <c r="K52" i="81"/>
  <c r="L52" i="81" s="1" a="1"/>
  <c r="L52" i="81" s="1"/>
  <c r="J52" i="81" s="1"/>
  <c r="K59" i="81"/>
  <c r="L59" i="81" s="1" a="1"/>
  <c r="L59" i="81" s="1"/>
  <c r="J59" i="81" s="1"/>
  <c r="K41" i="81"/>
  <c r="L41" i="81" s="1" a="1"/>
  <c r="L41" i="81" s="1"/>
  <c r="K44" i="81"/>
  <c r="L44" i="81" s="1" a="1"/>
  <c r="L44" i="81" s="1"/>
  <c r="J44" i="81" s="1"/>
  <c r="K56" i="81"/>
  <c r="L56" i="81" s="1" a="1"/>
  <c r="L56" i="81" s="1"/>
  <c r="J56" i="81" s="1"/>
  <c r="K57" i="81"/>
  <c r="L57" i="81" s="1" a="1"/>
  <c r="L57" i="81" s="1"/>
  <c r="J57" i="81" s="1"/>
  <c r="K50" i="81"/>
  <c r="L50" i="81" s="1" a="1"/>
  <c r="L50" i="81" s="1"/>
  <c r="J50" i="81" s="1"/>
  <c r="L69" i="80" a="1"/>
  <c r="L69" i="80" s="1"/>
  <c r="J69" i="80" s="1"/>
  <c r="L71" i="80" a="1"/>
  <c r="L71" i="80" s="1"/>
  <c r="J71" i="80" s="1"/>
  <c r="L89" i="80" a="1"/>
  <c r="L89" i="80" s="1"/>
  <c r="J89" i="80" s="1"/>
  <c r="L73" i="80" a="1"/>
  <c r="L73" i="80" s="1"/>
  <c r="J73" i="80" s="1"/>
  <c r="L82" i="80" a="1"/>
  <c r="L82" i="80" s="1"/>
  <c r="J82" i="80" s="1"/>
  <c r="L80" i="80" a="1"/>
  <c r="L80" i="80" s="1"/>
  <c r="J80" i="80" s="1"/>
  <c r="L91" i="80" a="1"/>
  <c r="L91" i="80" s="1"/>
  <c r="J91" i="80" s="1"/>
  <c r="L92" i="80" a="1"/>
  <c r="L92" i="80" s="1"/>
  <c r="J92" i="80" s="1"/>
  <c r="L90" i="80" a="1"/>
  <c r="L90" i="80" s="1"/>
  <c r="J90" i="80" s="1"/>
  <c r="L79" i="80" a="1"/>
  <c r="L79" i="80" s="1"/>
  <c r="J79" i="80" s="1"/>
  <c r="L78" i="80" a="1"/>
  <c r="L78" i="80" s="1"/>
  <c r="J78" i="80" s="1"/>
  <c r="L87" i="80" a="1"/>
  <c r="L87" i="80" s="1"/>
  <c r="J87" i="80" s="1"/>
  <c r="L81" i="80" a="1"/>
  <c r="L81" i="80" s="1"/>
  <c r="J81" i="80" s="1"/>
  <c r="L74" i="80" a="1"/>
  <c r="L74" i="80" s="1"/>
  <c r="J74" i="80" s="1"/>
  <c r="L88" i="80" a="1"/>
  <c r="L88" i="80" s="1"/>
  <c r="J88" i="80" s="1"/>
  <c r="K42" i="80" l="1"/>
  <c r="L42" i="80" s="1" a="1"/>
  <c r="L42" i="80" s="1"/>
  <c r="J42" i="80" s="1"/>
  <c r="K41" i="80"/>
  <c r="L41" i="80" s="1" a="1"/>
  <c r="L41" i="80" s="1"/>
  <c r="K40" i="80"/>
  <c r="L40" i="80" s="1" a="1"/>
  <c r="L40" i="80" s="1"/>
  <c r="J40" i="80" s="1"/>
  <c r="I43" i="82"/>
  <c r="J41" i="81"/>
  <c r="J135" i="81" s="1"/>
  <c r="L135" i="81"/>
  <c r="J41" i="80" l="1"/>
  <c r="J135" i="80" s="1"/>
  <c r="L135" i="8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tc={D20C3F57-4202-44AA-B8AB-CF5BBA325A9D}</author>
  </authors>
  <commentList>
    <comment ref="B56" authorId="0" shapeId="0" xr:uid="{D20C3F57-4202-44AA-B8AB-CF5BBA325A9D}">
      <text>
        <t>[Trådad kommentar]
I din version av Excel kan du läsa den här trådade kommentaren, men eventuella ändringar i den tas bort om filen öppnas i en senare version av Excel. Läs mer: https://go.microsoft.com/fwlink/?linkid=870924
Kommentar:
    Vid framtida bokningsförfrågningar kommer Johan förmodligen ange felaktig adress då detta skett flertalet gånger. Så byt inte till :Stadsmissionens skolstiftelse, Box 47073, 100 74 Stockholm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<sst xmlns="http://schemas.openxmlformats.org/spreadsheetml/2006/main" count="6833" uniqueCount="1028">
  <si>
    <t>DAG</t>
  </si>
  <si>
    <t>DATUM</t>
  </si>
  <si>
    <t>TID</t>
  </si>
  <si>
    <t>ANTAL</t>
  </si>
  <si>
    <t>GRUPP/LAG/SKOLA/ETC.</t>
  </si>
  <si>
    <t>ÖVRIGT</t>
  </si>
  <si>
    <t>BOKNING MOTTAGEN</t>
  </si>
  <si>
    <t>KONTAKT</t>
  </si>
  <si>
    <t>TEL. KONTAKTPERSON</t>
  </si>
  <si>
    <t>E-POST, KONTAKTPERSON</t>
  </si>
  <si>
    <t>FAKTURERINGSADRESS</t>
  </si>
  <si>
    <t>MEJLFAKTURERING</t>
  </si>
  <si>
    <t>REFERENS</t>
  </si>
  <si>
    <t>ORGANISATIONSNUMMER</t>
  </si>
  <si>
    <t>PEPPOL-ID</t>
  </si>
  <si>
    <t>GLN-NUMMER</t>
  </si>
  <si>
    <t>Priser för Boule och mattcurling</t>
  </si>
  <si>
    <t>/påbörjad h</t>
  </si>
  <si>
    <t>Datum</t>
  </si>
  <si>
    <t>Namn</t>
  </si>
  <si>
    <t>Grupp</t>
  </si>
  <si>
    <t>Aktivitet/vara</t>
  </si>
  <si>
    <t>Kassakod</t>
  </si>
  <si>
    <t>Pris/st</t>
  </si>
  <si>
    <t>Varav faktureras</t>
  </si>
  <si>
    <t>Betalas på plats</t>
  </si>
  <si>
    <t>/tillfälle</t>
  </si>
  <si>
    <t>Nyårsdagen</t>
  </si>
  <si>
    <t>Boulelaget</t>
  </si>
  <si>
    <t>Boule</t>
  </si>
  <si>
    <t>VG03</t>
  </si>
  <si>
    <t>/pers/påbörjad h</t>
  </si>
  <si>
    <t>Trettondedag jul</t>
  </si>
  <si>
    <t>/pers</t>
  </si>
  <si>
    <t>Långfredagen</t>
  </si>
  <si>
    <t>Gäster</t>
  </si>
  <si>
    <t>/instruktör</t>
  </si>
  <si>
    <t>Påskdagen</t>
  </si>
  <si>
    <t>Mattcurling</t>
  </si>
  <si>
    <t>VG07</t>
  </si>
  <si>
    <t>/instruktör/påbörjad h</t>
  </si>
  <si>
    <t>Annandag påsk</t>
  </si>
  <si>
    <t>/st</t>
  </si>
  <si>
    <t>Första maj</t>
  </si>
  <si>
    <t>/bord</t>
  </si>
  <si>
    <t>Kristi himmelfärdsdag</t>
  </si>
  <si>
    <t>/påbörjad h (hall &amp; instruktör)</t>
  </si>
  <si>
    <t>Sveriges nationaldag</t>
  </si>
  <si>
    <t>Pensionär</t>
  </si>
  <si>
    <t>Kaffe</t>
  </si>
  <si>
    <t>VG01</t>
  </si>
  <si>
    <t>Pingstdagen</t>
  </si>
  <si>
    <t>Góbit</t>
  </si>
  <si>
    <t>11</t>
  </si>
  <si>
    <t>Midsommardagen</t>
  </si>
  <si>
    <t>Smörgås</t>
  </si>
  <si>
    <t>12</t>
  </si>
  <si>
    <t>Alla helgons dag</t>
  </si>
  <si>
    <t>13</t>
  </si>
  <si>
    <t>Juldagen</t>
  </si>
  <si>
    <t>14</t>
  </si>
  <si>
    <t>Annandag jul</t>
  </si>
  <si>
    <t>15</t>
  </si>
  <si>
    <t>Midsommarafton</t>
  </si>
  <si>
    <t>16</t>
  </si>
  <si>
    <t>Julafton</t>
  </si>
  <si>
    <t>17</t>
  </si>
  <si>
    <t>18</t>
  </si>
  <si>
    <t>x</t>
  </si>
  <si>
    <t>Träning</t>
  </si>
  <si>
    <t>VG02</t>
  </si>
  <si>
    <t>19</t>
  </si>
  <si>
    <t>20</t>
  </si>
  <si>
    <t>21</t>
  </si>
  <si>
    <t>Byhléns gäng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</si>
  <si>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</si>
  <si>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</si>
  <si>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</si>
  <si>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</si>
  <si>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</si>
  <si>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</si>
  <si>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</si>
  <si>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</si>
  <si>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</si>
  <si>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5-10</t>
  </si>
  <si>
    <t>10-15</t>
  </si>
  <si>
    <t>15-20</t>
  </si>
  <si>
    <t>20-25</t>
  </si>
  <si>
    <t>21-30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</si>
  <si>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</si>
  <si>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</si>
  <si>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</si>
  <si>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</si>
  <si>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</si>
  <si>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</si>
  <si>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</si>
  <si>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</si>
  <si>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</si>
  <si>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</si>
  <si>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</si>
  <si>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</si>
  <si>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</si>
  <si>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</si>
  <si>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</si>
  <si>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100-120</t>
  </si>
  <si>
    <t>120-140</t>
  </si>
  <si>
    <t>140-160</t>
  </si>
  <si>
    <t>160-180</t>
  </si>
  <si>
    <t>180-200</t>
  </si>
  <si>
    <t>200-250</t>
  </si>
  <si>
    <t>250-300</t>
  </si>
  <si>
    <t>300-350</t>
  </si>
  <si>
    <t>350-400</t>
  </si>
  <si>
    <t>400-450</t>
  </si>
  <si>
    <t>450-500</t>
  </si>
  <si>
    <t>500-550</t>
  </si>
  <si>
    <t>550-600</t>
  </si>
  <si>
    <t>Hela hallen</t>
  </si>
  <si>
    <t>Faktureras ej</t>
  </si>
  <si>
    <t>500:- + 750:-</t>
  </si>
  <si>
    <t>650:- + 750:-</t>
  </si>
  <si>
    <t>850:- + 750:-</t>
  </si>
  <si>
    <t>900:- + 750:-</t>
  </si>
  <si>
    <t>1 250:- + 750:-</t>
  </si>
  <si>
    <t>1 500:- + 750:-</t>
  </si>
  <si>
    <t>1 750:- + 750:-</t>
  </si>
  <si>
    <t>Måndag</t>
  </si>
  <si>
    <t>Tisdag</t>
  </si>
  <si>
    <t>Onsdag</t>
  </si>
  <si>
    <t>Torsdag</t>
  </si>
  <si>
    <t>Fredag</t>
  </si>
  <si>
    <t>Lördag</t>
  </si>
  <si>
    <t>Söndag</t>
  </si>
  <si>
    <t>Vecka</t>
  </si>
  <si>
    <t>-</t>
  </si>
  <si>
    <t>16/17:4</t>
  </si>
  <si>
    <t>Hanna Häggström</t>
  </si>
  <si>
    <t>ABB</t>
  </si>
  <si>
    <t>ABB AB Crane Systems, Fe 6210, SE-83984 Östersund</t>
  </si>
  <si>
    <t>lars-owe.mellberg@se.abb.com</t>
  </si>
  <si>
    <t>Lars-Owe Mellberg</t>
  </si>
  <si>
    <t>Loa Mellberg</t>
  </si>
  <si>
    <t>Apalbyskolan</t>
  </si>
  <si>
    <t>Apalbyskolan, Västerås stad, Box 1150, Bävergatan 1, 721 29 Västerås</t>
  </si>
  <si>
    <t>BG350</t>
  </si>
  <si>
    <t>Ingela Gran Farkhooi</t>
  </si>
  <si>
    <t>0733423824</t>
  </si>
  <si>
    <t>ingela.gran.farkhooi@vasteras.se</t>
  </si>
  <si>
    <t>Barnkalas</t>
  </si>
  <si>
    <t>Barnkalas, Alexander S.</t>
  </si>
  <si>
    <t>Alexander Selin</t>
  </si>
  <si>
    <t>070-450 52 17</t>
  </si>
  <si>
    <t>at.selin@gmail.com</t>
  </si>
  <si>
    <t>Barnkalas, Anders O.</t>
  </si>
  <si>
    <t>Anders Olby</t>
  </si>
  <si>
    <t>073-525 56 31</t>
  </si>
  <si>
    <t>Anders.olby@outlook.com</t>
  </si>
  <si>
    <t>Barnkalas, Elin J.</t>
  </si>
  <si>
    <t>Tränare</t>
  </si>
  <si>
    <t>Elin Jernehed</t>
  </si>
  <si>
    <t>070-439 17 84</t>
  </si>
  <si>
    <t>elinjernehed@gmail.com</t>
  </si>
  <si>
    <t>Barnkalas, Emeli Fahlen</t>
  </si>
  <si>
    <t>Emeli Fahlen</t>
  </si>
  <si>
    <t>073-045 44 74</t>
  </si>
  <si>
    <t>emeli.fahlen@hotmail.com</t>
  </si>
  <si>
    <t>Barnkalas, Hanna N.</t>
  </si>
  <si>
    <t>Hanna Nohlert, Tränare</t>
  </si>
  <si>
    <t>Hanna Nohlert</t>
  </si>
  <si>
    <t>0702001347</t>
  </si>
  <si>
    <t>hanna.nohlert@gmail.com</t>
  </si>
  <si>
    <t>Barnkalas, Joanna A.</t>
  </si>
  <si>
    <t>Ragnaröksgatan 23, 72355 Västerås</t>
  </si>
  <si>
    <t>Joanna Anklev</t>
  </si>
  <si>
    <t>073- 9754796</t>
  </si>
  <si>
    <t>Yoanna48@msn.com</t>
  </si>
  <si>
    <t>Barnkalas, Kristina Lind</t>
  </si>
  <si>
    <t>Andrej Lind, Tränare</t>
  </si>
  <si>
    <t>Kristina Lind</t>
  </si>
  <si>
    <t>0702207998</t>
  </si>
  <si>
    <t>kristina.granstrom@hotmail.com</t>
  </si>
  <si>
    <t>Barnkalas, Linus Lindgren</t>
  </si>
  <si>
    <t>Linus Lindgren</t>
  </si>
  <si>
    <t>0761177390</t>
  </si>
  <si>
    <t>linuslindgren@hotmail.com</t>
  </si>
  <si>
    <t>Barnkalas, Mattias Hertz</t>
  </si>
  <si>
    <t>Mattias Hertz</t>
  </si>
  <si>
    <t>070-448 89 45</t>
  </si>
  <si>
    <t>mattias_hertz@hotmail.com</t>
  </si>
  <si>
    <t>Barnkalas, Renée M.</t>
  </si>
  <si>
    <t>Renée Månsson</t>
  </si>
  <si>
    <t>070-287 81 56</t>
  </si>
  <si>
    <t>ren.mansson@gmail.com</t>
  </si>
  <si>
    <t>Barnkalas, Therese F.</t>
  </si>
  <si>
    <t>Lovisa Forslund, Kungsängsgatan 17A, 722 10 Västerås</t>
  </si>
  <si>
    <t>lofo0708@hotmail.com</t>
  </si>
  <si>
    <t>Therese Forslund</t>
  </si>
  <si>
    <t>Thereseforslund@live.se</t>
  </si>
  <si>
    <t>BK 30 Herr</t>
  </si>
  <si>
    <t>Bangatan 8, 722 28 Västerås</t>
  </si>
  <si>
    <t>Robert.Pettersson@adaptab.se</t>
  </si>
  <si>
    <t>Robert Pettersson</t>
  </si>
  <si>
    <t xml:space="preserve">073-917 00 01 </t>
  </si>
  <si>
    <t>BK30 dam</t>
  </si>
  <si>
    <t>info@bbrosfit.se</t>
  </si>
  <si>
    <t>Sebastian Eriksson</t>
  </si>
  <si>
    <t>BK30 dam/Myphysio</t>
  </si>
  <si>
    <t xml:space="preserve">faktura@bk30.se </t>
  </si>
  <si>
    <t>Anna Romeling</t>
  </si>
  <si>
    <t>0762468333</t>
  </si>
  <si>
    <t>anna@bbrosfit.se</t>
  </si>
  <si>
    <t>Boule, Strandman</t>
  </si>
  <si>
    <t>Strandman</t>
  </si>
  <si>
    <t>Brandthovdaskolan</t>
  </si>
  <si>
    <t>BG060</t>
  </si>
  <si>
    <t>Jesper Degerlund</t>
  </si>
  <si>
    <t>0761709407</t>
  </si>
  <si>
    <t>jesper.degerlund@vasteras.se</t>
  </si>
  <si>
    <t>Byhléns boulegäng</t>
  </si>
  <si>
    <t>Bålsta IK</t>
  </si>
  <si>
    <t>styrelsen@balstaik.se</t>
  </si>
  <si>
    <t>Rikard Nilsson</t>
  </si>
  <si>
    <t>Bäckby fritidsklubb</t>
  </si>
  <si>
    <t>Västerås Stad, Box 1150, 721 29 Västerås</t>
  </si>
  <si>
    <t>J3201</t>
  </si>
  <si>
    <t>Nuri Akpinar</t>
  </si>
  <si>
    <t>0705488174</t>
  </si>
  <si>
    <t>nuri.akpinar@vasteras.se</t>
  </si>
  <si>
    <t>212000-2080</t>
  </si>
  <si>
    <t>Camilla Isgren</t>
  </si>
  <si>
    <t>Centuriaskolan, Malin H. B</t>
  </si>
  <si>
    <t>Malin Härnström Boman</t>
  </si>
  <si>
    <t>0702987050</t>
  </si>
  <si>
    <t>malin.harnstrom.boman@centuriaskolan.se</t>
  </si>
  <si>
    <t>Centuriaskolan, Thomas S.</t>
  </si>
  <si>
    <t>Thomas Sjögren</t>
  </si>
  <si>
    <t>0707509722</t>
  </si>
  <si>
    <t>thomas.sjogren@centuriaskolan.se</t>
  </si>
  <si>
    <t>Coop, boule</t>
  </si>
  <si>
    <t>Coop, c/o Elone Östlund, Ringduvegatan 127, 724 70 Västerås</t>
  </si>
  <si>
    <t>Cykelklubben</t>
  </si>
  <si>
    <t>Västerås Cykelklubb, Box 12047, 720 12 Västerås</t>
  </si>
  <si>
    <t>kassor@vasterasck.se</t>
  </si>
  <si>
    <t>Per Flyckt</t>
  </si>
  <si>
    <t>per.flyckt@gmail.com</t>
  </si>
  <si>
    <t>Econ Games Indoor</t>
  </si>
  <si>
    <t>Emausgruppen</t>
  </si>
  <si>
    <t>Västerås stad, BOX 1150, 721 29 VÄSTERÅS</t>
  </si>
  <si>
    <t>GB 207</t>
  </si>
  <si>
    <t>Marjan Bestjak</t>
  </si>
  <si>
    <t>021-390513</t>
  </si>
  <si>
    <t>marjan.bestjak@vasteras.se</t>
  </si>
  <si>
    <t>212 000-2080</t>
  </si>
  <si>
    <t>Emausskolan</t>
  </si>
  <si>
    <t>Västerås stad, Box 1150, 721 29 Västerås</t>
  </si>
  <si>
    <t>PC AJ 949</t>
  </si>
  <si>
    <t>Oskar Eriksson</t>
  </si>
  <si>
    <t>oskar.eriksson@vasteras.se</t>
  </si>
  <si>
    <t>Familjehemsenheten</t>
  </si>
  <si>
    <t>Västerås stad, Indivit- och familjenämnden, 721 87 Västerås</t>
  </si>
  <si>
    <t>IN235</t>
  </si>
  <si>
    <t>Ulrika Lindmark</t>
  </si>
  <si>
    <t>021-392209</t>
  </si>
  <si>
    <t>ulrika.lindmark@vasteras.se</t>
  </si>
  <si>
    <t>Fridnässkolan</t>
  </si>
  <si>
    <t>Post: Fridnäs, Västerås stad, Box 1150, 72129 Västerås</t>
  </si>
  <si>
    <t>BG 190 aa411</t>
  </si>
  <si>
    <t>Ida Leek</t>
  </si>
  <si>
    <t>0738166102</t>
  </si>
  <si>
    <t>ida.leek@vasteras.se</t>
  </si>
  <si>
    <t>Friidrott för barn (7-10 år) - Utb Södra Svealand</t>
  </si>
  <si>
    <t>kassor.sodrasvealand@friidrott.se</t>
  </si>
  <si>
    <t>Erica Lignell</t>
  </si>
  <si>
    <t>anna.bengtsson@friidrott.se</t>
  </si>
  <si>
    <t>Friidrott för barn (steg 2)</t>
  </si>
  <si>
    <t>Södra Svealands Friidrottsförbund, Eva Lisa Holtz Arena, Johan Banérs Väg 5, 653 48 Karlstad</t>
  </si>
  <si>
    <t>Madde Olsson</t>
  </si>
  <si>
    <t>madde.olsson@friidrott.se</t>
  </si>
  <si>
    <t>Friidrottskul med Maxi Hälla</t>
  </si>
  <si>
    <t>Föreningsfotografering</t>
  </si>
  <si>
    <t>Gideonsbergs IF Herrlag</t>
  </si>
  <si>
    <t>Kansli@gideonsbergsif.se</t>
  </si>
  <si>
    <t>Martin Jernehed</t>
  </si>
  <si>
    <t>0736123067</t>
  </si>
  <si>
    <t>martinjernehed@hotmail.com</t>
  </si>
  <si>
    <t>GIH, Gustaf</t>
  </si>
  <si>
    <t>Lina Nilsson</t>
  </si>
  <si>
    <t>0701038449</t>
  </si>
  <si>
    <t>lina.nilsson@gih.se</t>
  </si>
  <si>
    <t>Grillska gymnasiet, Johan A.</t>
  </si>
  <si>
    <t>Stadsmissionens skolstiftelse, Box 35, 131 06 Nacka</t>
  </si>
  <si>
    <t>inkfakturor@stadsmissionensskolstiftelse.se</t>
  </si>
  <si>
    <t>Johan Andersson</t>
  </si>
  <si>
    <t>0735456403</t>
  </si>
  <si>
    <t>johan.andersson@grillska.se</t>
  </si>
  <si>
    <t>802017-0794</t>
  </si>
  <si>
    <t>Grillska gymnasiet, Malin H. B.</t>
  </si>
  <si>
    <t>malin.harnstromboman@grillska.se</t>
  </si>
  <si>
    <t>Grillska gymnasiet, Melinda M.</t>
  </si>
  <si>
    <t>Grillska gymnasiet, Port-Anders Gata 3, 722 12 Västerås</t>
  </si>
  <si>
    <t>Melinda Midemalm</t>
  </si>
  <si>
    <t>0769102070</t>
  </si>
  <si>
    <t>melinda.ristomidemalm@grillska.se</t>
  </si>
  <si>
    <t>Grundskolan Äventyret</t>
  </si>
  <si>
    <t>inbox.lev.366038@arkivplats.se</t>
  </si>
  <si>
    <t>Maggan Ljungblad</t>
  </si>
  <si>
    <t>magganljungblad@hotmail.com</t>
  </si>
  <si>
    <t>Grundskolan Äventyret, Lisa S.</t>
  </si>
  <si>
    <t>Lisa Söderbäck</t>
  </si>
  <si>
    <t>0704875997</t>
  </si>
  <si>
    <t>lisa.soderback@aventyret.net</t>
  </si>
  <si>
    <t>Gäddeholmsskolan</t>
  </si>
  <si>
    <t>Mathias Andersson</t>
  </si>
  <si>
    <t>0736789641</t>
  </si>
  <si>
    <t>mathias2.andersson@vasteras.se</t>
  </si>
  <si>
    <t>Hahrska gymnasiet</t>
  </si>
  <si>
    <t>Hahrska gymnasiet, Västerås stad, Box 1150, 721 29 Västerås</t>
  </si>
  <si>
    <t>faktura@vasteras.se </t>
  </si>
  <si>
    <t>UG150</t>
  </si>
  <si>
    <t>Lena Lötmo</t>
  </si>
  <si>
    <t>0730885516</t>
  </si>
  <si>
    <t>lena.lotmo@vasteras.se</t>
  </si>
  <si>
    <t>Hallstahammars kommun</t>
  </si>
  <si>
    <t>Hallstahammars kommun, Fack 760025, R 067, 10637 Stockholm</t>
  </si>
  <si>
    <t>ZH670011 – Danha Bachiri</t>
  </si>
  <si>
    <t>Danha Bachiri</t>
  </si>
  <si>
    <t>212000‑206</t>
  </si>
  <si>
    <t>Henrik Smidskog</t>
  </si>
  <si>
    <t>Hornafrik IF</t>
  </si>
  <si>
    <t>Hornafrik Ungdomsförening IF, Allmogeplatsen 20, 72480 Västerås</t>
  </si>
  <si>
    <t>Hornafrik.if@hotmail.com</t>
  </si>
  <si>
    <t>Jamal Abdirahman</t>
  </si>
  <si>
    <t>Håkantorpsskolan</t>
  </si>
  <si>
    <t>Västerås Stad, Box 1150, 72129 Västerås</t>
  </si>
  <si>
    <t>AB214</t>
  </si>
  <si>
    <t>Julia Törnblom</t>
  </si>
  <si>
    <t>021-398586</t>
  </si>
  <si>
    <t>Hällbyskolan</t>
  </si>
  <si>
    <t>Västerås stad, Box 1150, 72129 Västerås</t>
  </si>
  <si>
    <t>BG330</t>
  </si>
  <si>
    <t>Per Lindevret</t>
  </si>
  <si>
    <t>021-390200</t>
  </si>
  <si>
    <t>per.lindevret@vasteras.se</t>
  </si>
  <si>
    <t>Hällbyskolan, Angelica N.</t>
  </si>
  <si>
    <t>Angelica Nordfeldt</t>
  </si>
  <si>
    <t>angelica.nordfeldt@vasteras.se</t>
  </si>
  <si>
    <t>Höstlovskul</t>
  </si>
  <si>
    <t>Idrottsförskolan Piggelin</t>
  </si>
  <si>
    <t>metallverksgatan 4, 72130 västerås</t>
  </si>
  <si>
    <t>info@barnkompani.se </t>
  </si>
  <si>
    <t>Sara</t>
  </si>
  <si>
    <t>lirarna@idrottsforskolan.se</t>
  </si>
  <si>
    <t>556628-2561</t>
  </si>
  <si>
    <t xml:space="preserve">Idrottskola för synskadade </t>
  </si>
  <si>
    <t>Alice Berntsson</t>
  </si>
  <si>
    <t>aliceberntsson@gmail.com</t>
  </si>
  <si>
    <t>IFK Fotboll P16</t>
  </si>
  <si>
    <t>sofia@ifk.nu</t>
  </si>
  <si>
    <t>Tomas Rappo</t>
  </si>
  <si>
    <t>0733443751</t>
  </si>
  <si>
    <t>lodet@hotmail.com</t>
  </si>
  <si>
    <t>IFK Västerås</t>
  </si>
  <si>
    <t>mattiasjohan03@hotmail.com</t>
  </si>
  <si>
    <t>Mattias Johansson</t>
  </si>
  <si>
    <t>073-0350705</t>
  </si>
  <si>
    <t>IFK Västerås P 11</t>
  </si>
  <si>
    <t>IFK Västerås FK, Vasagatan 71, 72217 Västerås</t>
  </si>
  <si>
    <t>info@ifk.nu</t>
  </si>
  <si>
    <t>Robin Markos</t>
  </si>
  <si>
    <t>IFK Västerås P09</t>
  </si>
  <si>
    <t>Matilda Åkerlund</t>
  </si>
  <si>
    <t>070393 77 77</t>
  </si>
  <si>
    <t>matildasjostrand@hotmail.com</t>
  </si>
  <si>
    <t>IK Franke</t>
  </si>
  <si>
    <t>kansli@ikfranke.com</t>
  </si>
  <si>
    <t>Johan Persson</t>
  </si>
  <si>
    <t>0738675167</t>
  </si>
  <si>
    <t>ikfranke@outlook.com</t>
  </si>
  <si>
    <t>IK Oden P08</t>
  </si>
  <si>
    <t>ik.oden@telia.com</t>
  </si>
  <si>
    <t>Åsa Nordin</t>
  </si>
  <si>
    <t>IK Westmannia, Christer W.</t>
  </si>
  <si>
    <t>IK Westmannia friidrott och skidor, Box 19, 731 21 Köping</t>
  </si>
  <si>
    <t>info@ikw-frisk.se</t>
  </si>
  <si>
    <t>Christer Wåhlander</t>
  </si>
  <si>
    <t>0705889087</t>
  </si>
  <si>
    <t>krillew313@me.com</t>
  </si>
  <si>
    <t>IK Westmannia, Jenny H.</t>
  </si>
  <si>
    <t>jennyholgersson@outlook.com</t>
  </si>
  <si>
    <t>Jenny Holgersson</t>
  </si>
  <si>
    <t>0704011895</t>
  </si>
  <si>
    <t>IKW</t>
  </si>
  <si>
    <t>Allan Lundgren</t>
  </si>
  <si>
    <t>Inlagda Gurkspelen</t>
  </si>
  <si>
    <t>Inomhus-DM</t>
  </si>
  <si>
    <t>Internationella Engelska Skolan Västerås</t>
  </si>
  <si>
    <t>IES Sverige AB, Attn: Faktura Västerås/PE, Nytorpsvägen 5B, 18371 Täby</t>
  </si>
  <si>
    <t>faktura@engelska.se</t>
  </si>
  <si>
    <t>Olov Gohde</t>
  </si>
  <si>
    <t>0723713860</t>
  </si>
  <si>
    <t>olov.gohde.vasteras@engelska.se</t>
  </si>
  <si>
    <t>Irsta IF P09</t>
  </si>
  <si>
    <t>Irsta IF, Box 17028, 72017 Västerås</t>
  </si>
  <si>
    <t>Mattias Johansson (P09)</t>
  </si>
  <si>
    <t>Irsta IF U17</t>
  </si>
  <si>
    <t>maland777@gmail.com</t>
  </si>
  <si>
    <t>Malin Andersson</t>
  </si>
  <si>
    <t>0760209509</t>
  </si>
  <si>
    <t>Irsta U19</t>
  </si>
  <si>
    <t>073-7800334</t>
  </si>
  <si>
    <t>sebastian@kopparhalsan.se</t>
  </si>
  <si>
    <t>IVSM</t>
  </si>
  <si>
    <t>JENSEN grundskola</t>
  </si>
  <si>
    <t>JENSEN education AB, Box 4, 737 21 FAGERSTA</t>
  </si>
  <si>
    <t>Eric Sundin</t>
  </si>
  <si>
    <t>0219770900</t>
  </si>
  <si>
    <t>eric.sundinlandstrom@jenseneducation.se</t>
  </si>
  <si>
    <t>556635-8759</t>
  </si>
  <si>
    <t>JENSEN, Anki T.</t>
  </si>
  <si>
    <t>JENSEN education college AB, AISE1265 Scancloud SE-831 90 ÖSTERSUND</t>
  </si>
  <si>
    <t>SE-5566358759@pdf.scancloud.se</t>
  </si>
  <si>
    <t>Ann-Christine Thomson</t>
  </si>
  <si>
    <t>anki.thomson@jenseneducation.se</t>
  </si>
  <si>
    <t>Joakim Wallon, GIH</t>
  </si>
  <si>
    <t>joakim.wallon@gmail.com</t>
  </si>
  <si>
    <t>Joakim Wallon</t>
  </si>
  <si>
    <t>0735183420</t>
  </si>
  <si>
    <t>Jobbmässa</t>
  </si>
  <si>
    <t>Shiva Behzadnia</t>
  </si>
  <si>
    <t>shiva.be48@gmail.com</t>
  </si>
  <si>
    <t>Julskinkekastet</t>
  </si>
  <si>
    <t>Kolarhagen, boule</t>
  </si>
  <si>
    <t>RBF Västeråshus 17, Kolarhagen, Fack 97829725, R 879, 106 37 Stockholm</t>
  </si>
  <si>
    <t>Kopparlundsgymnasiet</t>
  </si>
  <si>
    <t>Kopparlundsgymnasiet  FE 854-634  Scancloud  83 190 Östersund</t>
  </si>
  <si>
    <t>Annica Fredell</t>
  </si>
  <si>
    <t>annica.fredell@kgy.se</t>
  </si>
  <si>
    <t>Kristiansborgsskolan</t>
  </si>
  <si>
    <t>BH 140</t>
  </si>
  <si>
    <t>Göran Lindsgård</t>
  </si>
  <si>
    <t>021397622</t>
  </si>
  <si>
    <t>goran.lindsgard@skola.vasteras.se</t>
  </si>
  <si>
    <t>Kulramens förskola, Avd. Kvadraten</t>
  </si>
  <si>
    <t>Ann-Kristin Åström</t>
  </si>
  <si>
    <t>021-394769</t>
  </si>
  <si>
    <t>ann-kristin.astrom@vasteras.se</t>
  </si>
  <si>
    <t>Kungsåra/Malmaberg, Boule</t>
  </si>
  <si>
    <t>Kunskapsgymnasiet</t>
  </si>
  <si>
    <t>Kunskapsskolan i Sverige AB, Box 11205, 10061 Stockholm</t>
  </si>
  <si>
    <t>faktura@kunskapsskolan.se</t>
  </si>
  <si>
    <t>Mats Sandling</t>
  </si>
  <si>
    <t>0703659078</t>
  </si>
  <si>
    <t>mats.sandling@kunskapsgymnasiet.se</t>
  </si>
  <si>
    <t>Kunskapsskolan, Maria K</t>
  </si>
  <si>
    <t>Maria Karlsson</t>
  </si>
  <si>
    <t>maria.karlsson@kunskapsskolan.se</t>
  </si>
  <si>
    <t>Kunskapsskolan, Trine-Mie M.</t>
  </si>
  <si>
    <t>Trine Mie Mattsson</t>
  </si>
  <si>
    <t>0733173443</t>
  </si>
  <si>
    <t>trinemie.mattsson@kunskapsskolan.se</t>
  </si>
  <si>
    <t>Kunskapsskolan, Ulrika K. W.</t>
  </si>
  <si>
    <t>Ulrika Kårehed Wester</t>
  </si>
  <si>
    <t>0704016778</t>
  </si>
  <si>
    <t>ulrika.karehedwester@kunskapsskolan.se</t>
  </si>
  <si>
    <t>Lidmanska gymnasiet, Elin B.</t>
  </si>
  <si>
    <t>UG240</t>
  </si>
  <si>
    <t>Elin Barklund</t>
  </si>
  <si>
    <t>0704441887</t>
  </si>
  <si>
    <t>elin.barklund@vasteras.se</t>
  </si>
  <si>
    <t>Lidmanska gymnasiärskolan, Lena B.</t>
  </si>
  <si>
    <t>aa697</t>
  </si>
  <si>
    <t>Lena Bergström</t>
  </si>
  <si>
    <t>0765691947</t>
  </si>
  <si>
    <t>lena2.bergstrom@vasteras.se</t>
  </si>
  <si>
    <t>Lidmanska/Widénska</t>
  </si>
  <si>
    <t>0765693318</t>
  </si>
  <si>
    <t>Loppis</t>
  </si>
  <si>
    <t>Susanne Wall, Repslagargatan 7F, 724 60 Västerås</t>
  </si>
  <si>
    <t>Utanby2@hotmail.com</t>
  </si>
  <si>
    <t>Susanne Wall</t>
  </si>
  <si>
    <t>660216-6602</t>
  </si>
  <si>
    <t>Maja Gustavsson träning</t>
  </si>
  <si>
    <t>070448 89 45</t>
  </si>
  <si>
    <t>Mikael Backlund, Patrick Rapp</t>
  </si>
  <si>
    <t>info@sportperformancecenter.com</t>
  </si>
  <si>
    <t>Patrick Rapp</t>
  </si>
  <si>
    <t>0738098422</t>
  </si>
  <si>
    <t>Mikael Engbom, Löpargrupp</t>
  </si>
  <si>
    <t>mikael@engbom.net</t>
  </si>
  <si>
    <t>Mikael Engbom</t>
  </si>
  <si>
    <t>0709784555</t>
  </si>
  <si>
    <t>Mälardalens ridgymnasium</t>
  </si>
  <si>
    <t>ekonomi@mrgrid.se</t>
  </si>
  <si>
    <t>Meril Stjernström</t>
  </si>
  <si>
    <t>meril@mrgrid.se</t>
  </si>
  <si>
    <t>Mälarparksskolan</t>
  </si>
  <si>
    <t>Västerås Stad,Box 1150, 721 29 Västerås</t>
  </si>
  <si>
    <t>BG380</t>
  </si>
  <si>
    <t>Håkan Setthammar</t>
  </si>
  <si>
    <t>hakan.setthammar@vasteras.se</t>
  </si>
  <si>
    <t>Mälarparksskolan, Catarina H.</t>
  </si>
  <si>
    <t>Catarina Holmlund</t>
  </si>
  <si>
    <t>0706934377</t>
  </si>
  <si>
    <t>catarina.holmlund@vasteras.se</t>
  </si>
  <si>
    <t>NIU</t>
  </si>
  <si>
    <t>Maria Lindström</t>
  </si>
  <si>
    <t>maria3.lindstrom@vasteras.se</t>
  </si>
  <si>
    <t>NIU (hallen)</t>
  </si>
  <si>
    <t>NIU (konferensrummet)</t>
  </si>
  <si>
    <t>Noblaskolan</t>
  </si>
  <si>
    <t>Pysslingen Förskolor och Skolor AB, Box 213, 101 24 Stockholm</t>
  </si>
  <si>
    <t>leveranstorsfaktura@academedia.se</t>
  </si>
  <si>
    <t>Tony Hirvero</t>
  </si>
  <si>
    <t>0736773428</t>
  </si>
  <si>
    <t>tony.hirvero@noblaskolan.se</t>
  </si>
  <si>
    <t>556035-4309</t>
  </si>
  <si>
    <t>Noblaskolan Hagaberg</t>
  </si>
  <si>
    <t>Pysslingen förskolor och skolor AB, Box 213, 10124 Stockholm</t>
  </si>
  <si>
    <t>Linus Gustafsson</t>
  </si>
  <si>
    <t>0707787975</t>
  </si>
  <si>
    <t>linus.gustafsson@noblaskolan.se</t>
  </si>
  <si>
    <t>Noblaskolan Hemdal</t>
  </si>
  <si>
    <t>Marinela Atanasova</t>
  </si>
  <si>
    <t>021-156075</t>
  </si>
  <si>
    <t>marinela.atanasova@noblaskolan.se</t>
  </si>
  <si>
    <t>Noblaskolan Hemdal, Ellen S.</t>
  </si>
  <si>
    <t>ellen.spang@noblaskolan.se</t>
  </si>
  <si>
    <t>Ellen Spång</t>
  </si>
  <si>
    <t>0761025350</t>
  </si>
  <si>
    <t>NTI Gymnasiet</t>
  </si>
  <si>
    <t>NTI Gymnasiet Ellips AB, Box 213, 10124 Stockholm</t>
  </si>
  <si>
    <t>Rebecca Schwartzman</t>
  </si>
  <si>
    <t>0761136673</t>
  </si>
  <si>
    <t>rebecca.schwartzman@ntig.se</t>
  </si>
  <si>
    <t>Olofsson coaching</t>
  </si>
  <si>
    <t>Starzone Sports, Söderbyvägen 4, 195 60 Arlanda Stad, SWEDEN</t>
  </si>
  <si>
    <t>gustav@starzonesports.com</t>
  </si>
  <si>
    <t>Kent Olofsson</t>
  </si>
  <si>
    <t>olofssoncoaching@gmail.com</t>
  </si>
  <si>
    <t>Per Tunander</t>
  </si>
  <si>
    <t>0703140504</t>
  </si>
  <si>
    <t>Pilträdsskolan</t>
  </si>
  <si>
    <t>Stiftelsen Källan, LIN3437 Scancloud, 831 97 Östersund</t>
  </si>
  <si>
    <t>lin3437@pdf.grantthornton.se</t>
  </si>
  <si>
    <t>Hadeel Rasheed   </t>
  </si>
  <si>
    <t>073 866 56 36</t>
  </si>
  <si>
    <t>hadeel.rasheed@piltradsskolan.se</t>
  </si>
  <si>
    <t>878001-9090</t>
  </si>
  <si>
    <t>Polisen</t>
  </si>
  <si>
    <t>Polismyndigheten, 981 82 Kiruna, Kostnadsställe 92040406</t>
  </si>
  <si>
    <t>U0018929</t>
  </si>
  <si>
    <t>Lars Ånestrand</t>
  </si>
  <si>
    <t>070356 01 54</t>
  </si>
  <si>
    <t>larsh.anestrand@polisen.se</t>
  </si>
  <si>
    <t>202100-0076</t>
  </si>
  <si>
    <t>Prisutdelning, VF-Cupen</t>
  </si>
  <si>
    <t>PT Consulting</t>
  </si>
  <si>
    <t>Ägirgatan 10, 633 52 Eskilstuna</t>
  </si>
  <si>
    <t>pelle@ptconsulting.se</t>
  </si>
  <si>
    <t>Per Törnqvist</t>
  </si>
  <si>
    <t>0706829005</t>
  </si>
  <si>
    <t>RBU</t>
  </si>
  <si>
    <t>RBU Västerås Hörntorpsgatan 4 ingång 25  724 71 Västerås</t>
  </si>
  <si>
    <t>Fakturorrbuvasteras@gmail.com</t>
  </si>
  <si>
    <t>Katarina Janderberg</t>
  </si>
  <si>
    <t>0705941179</t>
  </si>
  <si>
    <t>katarina.janderberg@outlook.com</t>
  </si>
  <si>
    <t>Realgymnasiet Västerås</t>
  </si>
  <si>
    <t>Lärande i Sverige AB, Slottsgatan 105, 602 22 Norrköping</t>
  </si>
  <si>
    <t>53622-1</t>
  </si>
  <si>
    <t>Linn Wässman</t>
  </si>
  <si>
    <t>0732028054</t>
  </si>
  <si>
    <t>linn.wassman@realgymnasiet.se</t>
  </si>
  <si>
    <t>556571-5892</t>
  </si>
  <si>
    <t>Realgymnasiet, Andreas G.</t>
  </si>
  <si>
    <t>Andreas Gårdstam</t>
  </si>
  <si>
    <t>andreas.gardstam@realgymnasiet.se</t>
  </si>
  <si>
    <t>RF-SISU fotografering</t>
  </si>
  <si>
    <t>Rudbeckianska Gymnasiet</t>
  </si>
  <si>
    <t>UG100</t>
  </si>
  <si>
    <t>Michael Olsson</t>
  </si>
  <si>
    <t>michael.olsson@vasteras.se</t>
  </si>
  <si>
    <t>Rudbeckianska, Kalle Å.</t>
  </si>
  <si>
    <t>Västerås stad, Box 1150 Västerås</t>
  </si>
  <si>
    <t>Kalle Åkerlund</t>
  </si>
  <si>
    <t>021-394558</t>
  </si>
  <si>
    <t>kalle.akerlund@vasteras.se</t>
  </si>
  <si>
    <t>Rudbeckius, Boule</t>
  </si>
  <si>
    <t>Rönnby IBK</t>
  </si>
  <si>
    <t>suzanne.flodinericsson@gmail.com</t>
  </si>
  <si>
    <t>Emma Hellberg</t>
  </si>
  <si>
    <t>0709996880</t>
  </si>
  <si>
    <t>hellbergemma@gmail.com</t>
  </si>
  <si>
    <t>Rönnbyskolan</t>
  </si>
  <si>
    <t>BH080</t>
  </si>
  <si>
    <t>Jenny Åkerlund</t>
  </si>
  <si>
    <t>jenny.akerlund@vasteras.se</t>
  </si>
  <si>
    <t xml:space="preserve">Skallbergsskolan </t>
  </si>
  <si>
    <t>AF386</t>
  </si>
  <si>
    <t>Daniel Lagergren</t>
  </si>
  <si>
    <t>daniel.lagergren@vasteras.se</t>
  </si>
  <si>
    <t>Skiljebo A-lag</t>
  </si>
  <si>
    <t>ekonomi@skiljebosk.nu</t>
  </si>
  <si>
    <t>Patrik Dandanell</t>
  </si>
  <si>
    <t>patrik.dandanell@skiljebosk.nu</t>
  </si>
  <si>
    <t>Skiljebo fotboll, Christian G.</t>
  </si>
  <si>
    <t>christian.gesser@hotmail.com</t>
  </si>
  <si>
    <t>Christian Gesser</t>
  </si>
  <si>
    <t>0705704847</t>
  </si>
  <si>
    <t>Skiljebo SK P09</t>
  </si>
  <si>
    <t>Skiljebo SK, Väderleksgatan 20, 72131 Västerås</t>
  </si>
  <si>
    <t>andre@produktionshuset.se</t>
  </si>
  <si>
    <t>Lagledare</t>
  </si>
  <si>
    <t>André Giaretta</t>
  </si>
  <si>
    <t>878000-4480</t>
  </si>
  <si>
    <t>Skiljebo SK P19</t>
  </si>
  <si>
    <t>Helgurd Hajo</t>
  </si>
  <si>
    <t>helgurd.hajo@skiljebosk.nu</t>
  </si>
  <si>
    <t>Skiljebo SK, Dan F.</t>
  </si>
  <si>
    <t>Ekonomi@skiljebosk.nu</t>
  </si>
  <si>
    <t>Dan Fröjd</t>
  </si>
  <si>
    <t>danfroejd@gmail.com</t>
  </si>
  <si>
    <t>Skiljebo Sport klubb F09</t>
  </si>
  <si>
    <t>anders.edstrom@bredband2.com</t>
  </si>
  <si>
    <t>Kristina Forsberg</t>
  </si>
  <si>
    <t>0705541585</t>
  </si>
  <si>
    <t>kristina_ina@hotmail.com</t>
  </si>
  <si>
    <t>Skiljebo, boule</t>
  </si>
  <si>
    <t>PRO Skiljebo, Skiljeboplatsen 1B, 723 41 Västerås</t>
  </si>
  <si>
    <t>Skiljebo/Kolarhagen, Boule</t>
  </si>
  <si>
    <t>Skälbyskolan</t>
  </si>
  <si>
    <t>CK Utbildning AB, Fack 1304, FE 897, 751 74 Uppsala</t>
  </si>
  <si>
    <t>efakt.ckutbildning@devo.se</t>
  </si>
  <si>
    <t>Maria Idrott</t>
  </si>
  <si>
    <t>Jocke Larsson</t>
  </si>
  <si>
    <t>0767766661</t>
  </si>
  <si>
    <t>headcoach52@hotmail.com</t>
  </si>
  <si>
    <t>556908-1150</t>
  </si>
  <si>
    <t>Sofiaskolan</t>
  </si>
  <si>
    <t>Sofiaskolan Helene Ondracek Puddelungsgatan 70  721 87 Västerås</t>
  </si>
  <si>
    <t xml:space="preserve">Helena Ondracek  </t>
  </si>
  <si>
    <t>021398759</t>
  </si>
  <si>
    <t>helene.elisabet.ondracek"vasteras.se</t>
  </si>
  <si>
    <t>SPF Hamre Mattcurling</t>
  </si>
  <si>
    <t>Lars Sahlström</t>
  </si>
  <si>
    <t>sahlstromlars@gmail.com</t>
  </si>
  <si>
    <t>Sportlovskul</t>
  </si>
  <si>
    <t>Stenmässan</t>
  </si>
  <si>
    <t>VAGS, Box 12041, 720 21 Västerås</t>
  </si>
  <si>
    <t>Allan Ekberg</t>
  </si>
  <si>
    <t>pusstirabi@gmail.com</t>
  </si>
  <si>
    <t>Södra Svealands Friidrottsförbund</t>
  </si>
  <si>
    <t>Södra Svealands Friidrottsförbund c/o Karolin Eriksson, Kumla-Ekeby 107, 69293 Kumla</t>
  </si>
  <si>
    <t>Anna Bengtsson</t>
  </si>
  <si>
    <t>+46-10-4590306</t>
  </si>
  <si>
    <t>Thoren Business School</t>
  </si>
  <si>
    <t>Thorengruppen AB, FE254, 107 76 Stockholm</t>
  </si>
  <si>
    <t>Gustav Ericson</t>
  </si>
  <si>
    <t>0214481685</t>
  </si>
  <si>
    <t>gustav.eriksson@tbschool.se</t>
  </si>
  <si>
    <t>Tidö Lindö, boule</t>
  </si>
  <si>
    <t>Tillbergaskolan</t>
  </si>
  <si>
    <t>BH040</t>
  </si>
  <si>
    <t>mattias.hertz@vasteras.se</t>
  </si>
  <si>
    <t>Tillbergaskolan, Ida L.</t>
  </si>
  <si>
    <t>Tortunaskolan</t>
  </si>
  <si>
    <t>Stefan Olsson</t>
  </si>
  <si>
    <t>0739106029</t>
  </si>
  <si>
    <t>stefan.olsson2@vasteras.se</t>
  </si>
  <si>
    <t>Träningsgrupp föreningen</t>
  </si>
  <si>
    <t>Tullinge Friidrott</t>
  </si>
  <si>
    <t>Daniel Allard/Elias</t>
  </si>
  <si>
    <t>Utbildning 10-12 år</t>
  </si>
  <si>
    <t>Utbildning 12-14 år</t>
  </si>
  <si>
    <t>Utbildning 7-10 år</t>
  </si>
  <si>
    <t>Utbildning LF-Sommarkul</t>
  </si>
  <si>
    <t>VarjeSteg</t>
  </si>
  <si>
    <t xml:space="preserve">VarjeSteg AB, Lindholmsallén 28b, 417 56 Göteborg </t>
  </si>
  <si>
    <t>Lisa Lindefelt</t>
  </si>
  <si>
    <t>0767676331</t>
  </si>
  <si>
    <t>lindefelt@gmail.com</t>
  </si>
  <si>
    <t>VF-Cupen deltävling 1</t>
  </si>
  <si>
    <t>VF-Cupen deltävling 2</t>
  </si>
  <si>
    <t>VF-Cupen deltävling 3</t>
  </si>
  <si>
    <t>VF-Cupen deltävling 4</t>
  </si>
  <si>
    <t>VF-Cupen deltävling 5</t>
  </si>
  <si>
    <t>VF-Cupen deltävling 6</t>
  </si>
  <si>
    <t>VF-Cupen deltävling 7</t>
  </si>
  <si>
    <t>VF-Cupen deltävling 8</t>
  </si>
  <si>
    <t>VFK 14/15:1</t>
  </si>
  <si>
    <t>Elin Larsson</t>
  </si>
  <si>
    <t>0735657657</t>
  </si>
  <si>
    <t>elin.marie.larsson@gmail.com</t>
  </si>
  <si>
    <t>VFK 14/15:2</t>
  </si>
  <si>
    <t>Elin Brodin</t>
  </si>
  <si>
    <t>070920 27 72</t>
  </si>
  <si>
    <t>elinbro@yahoo.com</t>
  </si>
  <si>
    <t>VFK 14/15:3</t>
  </si>
  <si>
    <t>070450 52 17</t>
  </si>
  <si>
    <t>VFK 18/19:2</t>
  </si>
  <si>
    <t>VFK-Galan</t>
  </si>
  <si>
    <t>VIK fotboll</t>
  </si>
  <si>
    <t>andreas@vik-fotboll.com;  kansli@vikfotboll.se</t>
  </si>
  <si>
    <t xml:space="preserve">Andreas </t>
  </si>
  <si>
    <t>andreas@vik-fotboll.com</t>
  </si>
  <si>
    <t>VIK Fotboll P10</t>
  </si>
  <si>
    <t>Daniel Sandvall, Engelbrektsgatan 2, 722 16 Västerås</t>
  </si>
  <si>
    <t>daniel@officershuset.se</t>
  </si>
  <si>
    <t>Daniel Sandvall</t>
  </si>
  <si>
    <t>0707141504</t>
  </si>
  <si>
    <t>VIK Hockey</t>
  </si>
  <si>
    <t>Inbox.lev.4477750@arkivplats.se</t>
  </si>
  <si>
    <t>Västerås Ishockeyklubb</t>
  </si>
  <si>
    <t>817605-3166</t>
  </si>
  <si>
    <t>Viksäng, boule</t>
  </si>
  <si>
    <t>PRO Viksäng, Regementsgatan 87, 723 45 Västerås</t>
  </si>
  <si>
    <t>Viksängsskolan</t>
  </si>
  <si>
    <t>Västerås Stad, Box1150, 721 29 Västerås</t>
  </si>
  <si>
    <t>BH010</t>
  </si>
  <si>
    <t>Niklas Alm</t>
  </si>
  <si>
    <t>021-390852</t>
  </si>
  <si>
    <t>niklas.alm@vasteras.se</t>
  </si>
  <si>
    <t>VSK Bandy Herrlag</t>
  </si>
  <si>
    <t>faktura2043_vskbandyevent@erip.se</t>
  </si>
  <si>
    <t>Johan Ganebro</t>
  </si>
  <si>
    <t>0708655340</t>
  </si>
  <si>
    <t>johan@ganebro.se</t>
  </si>
  <si>
    <t>VSK P13</t>
  </si>
  <si>
    <t>anders_bergh@hotmail.com</t>
  </si>
  <si>
    <t>Anders Bergh</t>
  </si>
  <si>
    <t>070-816 73 41</t>
  </si>
  <si>
    <t>VSOK</t>
  </si>
  <si>
    <t>Västerås Skid- Och Orienterings Klubb, Box 2021, 720 02 Västerås</t>
  </si>
  <si>
    <t>info@vasterassok.com</t>
  </si>
  <si>
    <t>Johan Herbst</t>
  </si>
  <si>
    <t>0707592181</t>
  </si>
  <si>
    <t>johan.her@hotmail.com</t>
  </si>
  <si>
    <t>V-ås kommun, Boule</t>
  </si>
  <si>
    <t>Västerås BK30</t>
  </si>
  <si>
    <t>Västerås BK30, Bangatan 8, 722 26 Västerås</t>
  </si>
  <si>
    <t>Robert Sturesson</t>
  </si>
  <si>
    <t>robert@bk30.se</t>
  </si>
  <si>
    <t>Västerås Folkhögskola, Annica W.</t>
  </si>
  <si>
    <t>Västerås folkhögskola, Kund-id: LKH1408, FE 108, 105 69 Stockholm</t>
  </si>
  <si>
    <t>lkh0000@tps.banctec.se</t>
  </si>
  <si>
    <t>Allmän kurs Västerås</t>
  </si>
  <si>
    <t>Annica Wilson</t>
  </si>
  <si>
    <t>0734041181</t>
  </si>
  <si>
    <t>annica.wilson@vfhsk.se</t>
  </si>
  <si>
    <t>878002-0684</t>
  </si>
  <si>
    <t>Västerås Folkhögskola, Elin F.</t>
  </si>
  <si>
    <t>michael.deupler@vfhsk.se</t>
  </si>
  <si>
    <t>Elin Fridström</t>
  </si>
  <si>
    <t>0765861229</t>
  </si>
  <si>
    <t>elinfridstrom@outlook.com</t>
  </si>
  <si>
    <t>Västerås Internationella skola och förskola</t>
  </si>
  <si>
    <t>jlekonomi-1327@pdf.scancloud.se</t>
  </si>
  <si>
    <t>Ia Gullsjö</t>
  </si>
  <si>
    <t>0700355990</t>
  </si>
  <si>
    <t>admin@vins.se</t>
  </si>
  <si>
    <t>Västerås Montessoriskola</t>
  </si>
  <si>
    <t>inbox.lev.508289@arkivplats.se</t>
  </si>
  <si>
    <t>Markus Andersson</t>
  </si>
  <si>
    <t>0706776090</t>
  </si>
  <si>
    <t>markus@vasterasmontessoriskola.se</t>
  </si>
  <si>
    <t>Västerås Triathlonklubb</t>
  </si>
  <si>
    <t>idasternbro@gmail.com</t>
  </si>
  <si>
    <t>Nicklas Meijer</t>
  </si>
  <si>
    <t>0737265658</t>
  </si>
  <si>
    <t>nicklas.meijer@gmail.com</t>
  </si>
  <si>
    <t>VästeråsIrsta HF</t>
  </si>
  <si>
    <t>inbox.lev.1009719@arkivplats.se</t>
  </si>
  <si>
    <t>A-pojk</t>
  </si>
  <si>
    <t>Maria Rydfjord</t>
  </si>
  <si>
    <t>0735063212</t>
  </si>
  <si>
    <t>maria@rydfjord.se</t>
  </si>
  <si>
    <t>Västeråspolisen, Boule</t>
  </si>
  <si>
    <t>Västmanlands fotbollsförbund</t>
  </si>
  <si>
    <t>Idrottens hus, Pontus Widéns väg 18, 722 23 Västerås</t>
  </si>
  <si>
    <t>kansli@vff.se</t>
  </si>
  <si>
    <t>Henrik Haraldsson</t>
  </si>
  <si>
    <t>Angelo Soto</t>
  </si>
  <si>
    <t>0725222274</t>
  </si>
  <si>
    <t>angelo.soto@vasteras.se</t>
  </si>
  <si>
    <t>878000-6592</t>
  </si>
  <si>
    <t>Widénska gymnasiet</t>
  </si>
  <si>
    <t>WorkinOut</t>
  </si>
  <si>
    <t>WorkinOut by Ida AB, C/O Ida Wretling, Stora gatan 73c, 72460 Västerås</t>
  </si>
  <si>
    <t>Ida Wretling</t>
  </si>
  <si>
    <t>0762056996</t>
  </si>
  <si>
    <t>ida@workinout.se</t>
  </si>
  <si>
    <t>559368-4227</t>
  </si>
  <si>
    <t>Yrkesgymnasiet</t>
  </si>
  <si>
    <t>Thorengruppen AB, FE254, 107 76 Stockholm</t>
  </si>
  <si>
    <t>Arkin Keser</t>
  </si>
  <si>
    <t>0736584134</t>
  </si>
  <si>
    <t>arkin.keser@yrkesgymnasiet.se</t>
  </si>
  <si>
    <t>Önsta Gryta, Boule</t>
  </si>
  <si>
    <t>Bo Delbom, Konstnärsvägen 5, 724 71 Västerås</t>
  </si>
  <si>
    <t>Bo Delbom</t>
  </si>
  <si>
    <t>Önsta gryta, mattcurling</t>
  </si>
  <si>
    <t>Övernattning 10/11</t>
  </si>
  <si>
    <t>Stefan Thyni</t>
  </si>
  <si>
    <t>Övernattning, 12/13:2</t>
  </si>
  <si>
    <t>Marika Karlsson</t>
  </si>
  <si>
    <t>070489 93 14</t>
  </si>
  <si>
    <t>Marikak98@hotmail.com</t>
  </si>
  <si>
    <t>Antal</t>
  </si>
  <si>
    <t>Pris</t>
  </si>
  <si>
    <t>Prisklass</t>
  </si>
  <si>
    <t>PRIS</t>
  </si>
  <si>
    <t>0007:5565715892</t>
  </si>
  <si>
    <t>AVBOKAT</t>
  </si>
  <si>
    <t>Henrik Astfors</t>
  </si>
  <si>
    <t>Hela dagen</t>
  </si>
  <si>
    <t>Hökåsenskolan</t>
  </si>
  <si>
    <t>Västerås stad Box 1150 72129 Västerås</t>
  </si>
  <si>
    <t>BG120</t>
  </si>
  <si>
    <t>073-6383366</t>
  </si>
  <si>
    <t>KSU Bäckbygruppen 2</t>
  </si>
  <si>
    <t>Bäckbygruppen 2, Puddelugnsgatan 70, 721 87 Västerås</t>
  </si>
  <si>
    <t>Jenny Nordlund</t>
  </si>
  <si>
    <t>076-9416651</t>
  </si>
  <si>
    <t>jenny.nordlund@vasteras.se</t>
  </si>
  <si>
    <t>Tid1</t>
  </si>
  <si>
    <t>VIK Fotboll, Jörgen</t>
  </si>
  <si>
    <t>kansli@vikfotboll.se</t>
  </si>
  <si>
    <t>Jörgen</t>
  </si>
  <si>
    <t>021-413184</t>
  </si>
  <si>
    <t>Westridge Athletes</t>
  </si>
  <si>
    <t>Akka</t>
  </si>
  <si>
    <t>Anna-Karin Bäckström</t>
  </si>
  <si>
    <t>akka.backstrom@gmail.com</t>
  </si>
  <si>
    <t>Barnkalas, Andreas E.</t>
  </si>
  <si>
    <t>adde_engstrom@hotmail.com</t>
  </si>
  <si>
    <t>Andreas Engström</t>
  </si>
  <si>
    <t>073-3854740</t>
  </si>
  <si>
    <t>0007:5565661815</t>
  </si>
  <si>
    <t>Södra Svealands Friidrottsförbund, Jenny L.</t>
  </si>
  <si>
    <t>jenny.lernman@friidrott.se</t>
  </si>
  <si>
    <t>Jenny Lernman</t>
  </si>
  <si>
    <t>072-4536695</t>
  </si>
  <si>
    <t>Barnkalas, Anngelica A.</t>
  </si>
  <si>
    <t>Anngelica Andren</t>
  </si>
  <si>
    <t>annie_andren@hotmail.com</t>
  </si>
  <si>
    <t>072-2186728</t>
  </si>
  <si>
    <t>Tranellska/Widénska</t>
  </si>
  <si>
    <t>Barnkalas, Ebba H.</t>
  </si>
  <si>
    <t>Ebba Hjalmarsson</t>
  </si>
  <si>
    <t>076-1686047</t>
  </si>
  <si>
    <t>Ebbahjalmarsson@live.se</t>
  </si>
  <si>
    <t>021-390988</t>
  </si>
  <si>
    <t>VFK Årsmöte</t>
  </si>
  <si>
    <t>Skiljebo SK Fotboll, Mathias B.</t>
  </si>
  <si>
    <t>maberglund@live.se</t>
  </si>
  <si>
    <t>Mathias Berglund</t>
  </si>
  <si>
    <t>070-2134721</t>
  </si>
  <si>
    <t>Friskis &amp; Svettis</t>
  </si>
  <si>
    <t>Therése Arnlund</t>
  </si>
  <si>
    <t>021-101236</t>
  </si>
  <si>
    <t>therese@vasteras.friskissvettis.se</t>
  </si>
  <si>
    <t>Peter Wallin</t>
  </si>
  <si>
    <t>070-2987025</t>
  </si>
  <si>
    <t>wallin.peter@gmail.com</t>
  </si>
  <si>
    <t>Barnkalas, Peter W.</t>
  </si>
  <si>
    <t>Katarina Löfgren</t>
  </si>
  <si>
    <t>katarinakarlsson93@gmail.com</t>
  </si>
  <si>
    <t>Katarina Karlsson</t>
  </si>
  <si>
    <t>073-3662166</t>
  </si>
  <si>
    <t>Viksängsskolan, Pontus W.</t>
  </si>
  <si>
    <t>Pontus Willman</t>
  </si>
  <si>
    <t>pontus.willman@vasteras.se</t>
  </si>
  <si>
    <t>021-390851</t>
  </si>
  <si>
    <t>Träningsgrupper VFK (ej bokningsbar tid)</t>
  </si>
  <si>
    <t>Svenska Fotbollsförbundet</t>
  </si>
  <si>
    <t>Svenska fotbollsförbundet, Box 1216, 171 23 Solna</t>
  </si>
  <si>
    <t>Örjan Carrwik</t>
  </si>
  <si>
    <t>070-7253693</t>
  </si>
  <si>
    <t>orjan.carrwik@svenskfotboll.se</t>
  </si>
  <si>
    <t>815200-1916</t>
  </si>
  <si>
    <t>Kalas, Karolina D.</t>
  </si>
  <si>
    <t>Karolina Drozdibob</t>
  </si>
  <si>
    <t>073-0815797</t>
  </si>
  <si>
    <t>k.drozdibob@gmail.com</t>
  </si>
  <si>
    <t>mathias@schon.se</t>
  </si>
  <si>
    <t>Mathias Bernövall</t>
  </si>
  <si>
    <t>Skiljebo SK P13 Fotboll</t>
  </si>
  <si>
    <t>070-3422340</t>
  </si>
  <si>
    <t>Ekbergaskolan</t>
  </si>
  <si>
    <t>Sara Barkman</t>
  </si>
  <si>
    <t>021-394520</t>
  </si>
  <si>
    <t>sbarkman@hotmail.com</t>
  </si>
  <si>
    <t>BG020</t>
  </si>
  <si>
    <t>efaktura@larande.se</t>
  </si>
  <si>
    <t>Västerås Fritidsgårdar</t>
  </si>
  <si>
    <t>VFK 12/13:2</t>
  </si>
  <si>
    <t>070-4899314</t>
  </si>
  <si>
    <t>878000-5156 </t>
  </si>
  <si>
    <t>faktura@irstaif.se; jkronlof@gmail.com</t>
  </si>
  <si>
    <t>BH223</t>
  </si>
  <si>
    <t>leverantorsfaktura@academedia.se</t>
  </si>
  <si>
    <t>0007:556035-4309</t>
  </si>
  <si>
    <t>VFK 16/17:5</t>
  </si>
  <si>
    <t>VFK</t>
  </si>
  <si>
    <t>Matilda Sätre</t>
  </si>
  <si>
    <t>matilda1990@gmail.com</t>
  </si>
  <si>
    <t>070-3420871</t>
  </si>
  <si>
    <t>073-7454525</t>
  </si>
  <si>
    <t>Barnkalas, Malin R.</t>
  </si>
  <si>
    <t>malinroslund@hotmail.com</t>
  </si>
  <si>
    <t>Malin Roslund</t>
  </si>
  <si>
    <t>073-0443522</t>
  </si>
  <si>
    <t>VästeråsIrsta HF, Jonas G.</t>
  </si>
  <si>
    <t>jonas_gard@hotmail.com</t>
  </si>
  <si>
    <t>Jonas Gärd</t>
  </si>
  <si>
    <t>070-5880507</t>
  </si>
  <si>
    <t>VarjeSteg Anna S.</t>
  </si>
  <si>
    <t>VarjeStegs Löparklubb, Lindholmsallén 26c, 416 56 Göteborg</t>
  </si>
  <si>
    <t>Anna Siggelin</t>
  </si>
  <si>
    <t>anna.siggelin@hitachienergy.com</t>
  </si>
  <si>
    <t>802535-8145</t>
  </si>
  <si>
    <t>072-5639050</t>
  </si>
  <si>
    <t>IF Friskis &amp; Svettis, Pontus Widéns Väg 6, 72223 Västerås</t>
  </si>
  <si>
    <t>878001-0321</t>
  </si>
  <si>
    <t>faktura@vasteras.friskissvettis.se</t>
  </si>
  <si>
    <t>Barnkalas, Emelie F.</t>
  </si>
  <si>
    <t>Emeli Fahlén</t>
  </si>
  <si>
    <t>073-0454474</t>
  </si>
  <si>
    <t>Västerås Rönnby IBK</t>
  </si>
  <si>
    <t>info@ronnby.se</t>
  </si>
  <si>
    <t>Mikael Stenholt</t>
  </si>
  <si>
    <t>Sebastian Eriksson; Mikael Stenholt</t>
  </si>
  <si>
    <t>073-7800334; 070-318 06 66</t>
  </si>
  <si>
    <t>sebastian@kopparhalsan.se; stenholt@telia.com</t>
  </si>
  <si>
    <t>878002-3084</t>
  </si>
  <si>
    <t>Skälby Sharks</t>
  </si>
  <si>
    <t>nille280@hotmail.com</t>
  </si>
  <si>
    <t>Martin Nilsson</t>
  </si>
  <si>
    <t>Sebastian Ericsson</t>
  </si>
  <si>
    <t>878001-3788</t>
  </si>
  <si>
    <t>Västerås IK Hockey, A-lag</t>
  </si>
  <si>
    <t>William Lindgren</t>
  </si>
  <si>
    <t>073-360 68 64</t>
  </si>
  <si>
    <t>william@vik.se</t>
  </si>
  <si>
    <t>VÄSTERÅS ISHOCKEYKLUBB (VIK), ABB Arena Nord, 722 17 Västerås</t>
  </si>
  <si>
    <t>Fotografering grupper VFK</t>
  </si>
  <si>
    <t>Västerås IK Hockey, Juniorer</t>
  </si>
  <si>
    <t>Sefan Holmgren</t>
  </si>
  <si>
    <t>Kristoffer Ericsson</t>
  </si>
  <si>
    <t>073-6640180</t>
  </si>
  <si>
    <t>kristoffer@kopparhalsan.se</t>
  </si>
  <si>
    <t>John M, Kalas</t>
  </si>
  <si>
    <t>John Melin</t>
  </si>
  <si>
    <t>johnmelin@hotmail.com</t>
  </si>
  <si>
    <t>070-6590247</t>
  </si>
  <si>
    <t>andreas.tjerngren@gmail.com</t>
  </si>
  <si>
    <t>Barnkalas, Andreas T.</t>
  </si>
  <si>
    <t>Andreas Tjerngren</t>
  </si>
  <si>
    <t>Slagfjädergatan 9, 723 38 Västerås</t>
  </si>
  <si>
    <t>802426-2159</t>
  </si>
  <si>
    <t>TBG370</t>
  </si>
  <si>
    <t>0007:2120002080</t>
  </si>
  <si>
    <t>Hallstahammars HK</t>
  </si>
  <si>
    <t>VSK Bandy Dam</t>
  </si>
  <si>
    <t>VSK Bandy, ABB Arena Syd, Kansliet, 722 17 Västerås</t>
  </si>
  <si>
    <t>lillis@vskbandy.se</t>
  </si>
  <si>
    <t>Lillis Jonsson</t>
  </si>
  <si>
    <t>073-3428869</t>
  </si>
  <si>
    <t>kansliet@vskbandy.se</t>
  </si>
  <si>
    <t>Pilbågsgatan 3, 723 51 Västerås</t>
  </si>
  <si>
    <t>Industritekniska Gymnasiet Bergslagen AB, Robotvägen 4, 721 36 Västerås</t>
  </si>
  <si>
    <t>faktura@centuriaskolan.se</t>
  </si>
  <si>
    <t>Centuriaskolan</t>
  </si>
  <si>
    <t>Utbildning 7-9 år</t>
  </si>
  <si>
    <t>VIK Dam Ungdom</t>
  </si>
  <si>
    <t>Kontrollera att nedan fakturauppgifter är korrekta. Vänligen mejla aktuell information om något behöver korrigeras.</t>
  </si>
  <si>
    <t>Länk till viktig information gällande parkeringssituationen vid Westinghouse arena</t>
  </si>
  <si>
    <t>Dag</t>
  </si>
  <si>
    <t>Tid</t>
  </si>
  <si>
    <t>Kolumn1</t>
  </si>
  <si>
    <t>Avbokning</t>
  </si>
  <si>
    <t>Övrigt</t>
  </si>
  <si>
    <t>Kolumn4</t>
  </si>
  <si>
    <t xml:space="preserve">          Pris</t>
  </si>
  <si>
    <t>Summa</t>
  </si>
  <si>
    <t>Antal heltimmar</t>
  </si>
  <si>
    <t>Pris, beräkning</t>
  </si>
  <si>
    <t>Forts. nästa sida</t>
  </si>
  <si>
    <t>Totalt:</t>
  </si>
  <si>
    <t>Mejladress</t>
  </si>
  <si>
    <t>Bokn. Bekräftad av</t>
  </si>
  <si>
    <t>Lovisa Forslund</t>
  </si>
  <si>
    <t>henrik@vasterasfriidrott.se</t>
  </si>
  <si>
    <t>Elias Rapp</t>
  </si>
  <si>
    <t>elias@vasterasfriidrott.se</t>
  </si>
  <si>
    <t>kansliet@vasterasfriidrott.se</t>
  </si>
  <si>
    <t>VT</t>
  </si>
  <si>
    <t>HT</t>
  </si>
  <si>
    <t>FAKTURERING</t>
  </si>
  <si>
    <t>Steg 1-utbildning</t>
  </si>
  <si>
    <t>Faktureringsunderlag</t>
  </si>
  <si>
    <t>Grupp:</t>
  </si>
  <si>
    <t>Kontaktperson:</t>
  </si>
  <si>
    <t>Faktureringsadress:</t>
  </si>
  <si>
    <t>Mejlfakturering:</t>
  </si>
  <si>
    <t>Referens:</t>
  </si>
  <si>
    <t>Barnkalas, Dennis A.</t>
  </si>
  <si>
    <t>dennisaltun@gmail.com</t>
  </si>
  <si>
    <t>Dennis Altun</t>
  </si>
  <si>
    <t>070-8952020</t>
  </si>
  <si>
    <t>Grillska gymnasiet, Bob H</t>
  </si>
  <si>
    <t>Bob Holm</t>
  </si>
  <si>
    <t>Bob Holm &lt;bob.holm@grillska.se&gt;</t>
  </si>
  <si>
    <t>Peppol-ID:</t>
  </si>
  <si>
    <t>GLN-nummer:</t>
  </si>
  <si>
    <t>SKA FAKTURERAS UNDER VALD PERIOD</t>
  </si>
  <si>
    <t>Faktureras ej här</t>
  </si>
  <si>
    <t>Intervall för fakturering</t>
  </si>
  <si>
    <t>Jenny Lenman</t>
  </si>
  <si>
    <t>Inbox.lev.447751@arkivplats.se</t>
  </si>
  <si>
    <t>878000-6055</t>
  </si>
  <si>
    <t>sportchef.herr@hallstahammarshk.se</t>
  </si>
  <si>
    <t>878001-3101</t>
  </si>
  <si>
    <t>Barnkalas, Heather S.</t>
  </si>
  <si>
    <t>Heather Scott</t>
  </si>
  <si>
    <t>heather_scott1001@yahoo.co.uk</t>
  </si>
  <si>
    <t>072-2087237</t>
  </si>
  <si>
    <t>Kalas, H Astfors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</si>
</sst>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164" formatCode="0000000000"/>
    <numFmt numFmtId="165" formatCode="hh:mm&quot; -&quot;"/>
    <numFmt numFmtId="166" formatCode="#,##0&quot; :-&quot;"/>
    <numFmt numFmtId="167" formatCode="dd\ mmm"/>
    <numFmt numFmtId="168" formatCode="&quot;V. &quot;0"/>
    <numFmt numFmtId="169" formatCode="&quot;Kalenderår: &quot;0"/>
    <numFmt numFmtId="170" formatCode="&quot;Boule: &quot;0&quot;:-&quot;"/>
    <numFmt numFmtId="171" formatCode="&quot;Mattcurling: &quot;0&quot;:-&quot;"/>
    <numFmt numFmtId="172" formatCode="hh:mm;@"/>
    <numFmt numFmtId="173" formatCode="&quot;Bokning bekräftad av: &quot;@"/>
    <numFmt numFmtId="174" formatCode="&quot;Mejladress: &quot;@"/>
    <numFmt numFmtId="175" formatCode="&quot;Grupp: &quot;@"/>
    <numFmt numFmtId="176" formatCode="&quot;kl &quot;hh:mm&quot; -&quot;"/>
    <numFmt numFmtId="177" formatCode="#,##0&quot;:-&quot;"/>
  </numFmts>
  <fonts count="29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b/>
      <sz val="11"/>
      <color theme="0" tint="-4.9989318521683403E-2"/>
      <name val="Aptos Narrow"/>
      <family val="2"/>
      <scheme val="minor"/>
    </font>
    <font>
      <b/>
      <sz val="11"/>
      <color theme="0" tint="-0.1499679555650502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i/>
      <u/>
      <sz val="11"/>
      <color rgb="FFFF0000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b/>
      <sz val="11"/>
      <color theme="1"/>
      <name val="Calibri"/>
      <family val="2"/>
    </font>
    <font>
      <sz val="9.5"/>
      <color theme="1"/>
      <name val="Calibri"/>
      <family val="2"/>
    </font>
    <font>
      <sz val="9.5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000000"/>
      <name val="Aptos Narrow"/>
      <family val="2"/>
    </font>
    <font>
      <b/>
      <sz val="11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0" tint="-0.1499679555650502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left"/>
    </xf>
    <xf numFmtId="0" fontId="4" fillId="0" borderId="0" xfId="1"/>
    <xf numFmtId="0" fontId="2" fillId="0" borderId="0" xfId="0" applyFont="1"/>
    <xf numFmtId="0" fontId="6" fillId="0" borderId="0" xfId="1" applyFont="1"/>
    <xf numFmtId="16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left"/>
    </xf>
    <xf numFmtId="166" fontId="0" fillId="0" borderId="0" xfId="0" applyNumberFormat="1"/>
    <xf numFmtId="164" fontId="3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170" fontId="3" fillId="0" borderId="5" xfId="0" applyNumberFormat="1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/>
    <xf numFmtId="171" fontId="3" fillId="0" borderId="5" xfId="0" applyNumberFormat="1" applyFont="1" applyBorder="1"/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167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horizontal="right"/>
    </xf>
    <xf numFmtId="20" fontId="0" fillId="0" borderId="0" xfId="0" applyNumberFormat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65" fontId="8" fillId="0" borderId="0" xfId="0" applyNumberFormat="1" applyFont="1" applyAlignment="1">
      <alignment horizontal="center"/>
    </xf>
    <xf numFmtId="20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/>
    <xf numFmtId="166" fontId="0" fillId="0" borderId="1" xfId="0" applyNumberFormat="1" applyBorder="1"/>
    <xf numFmtId="0" fontId="12" fillId="0" borderId="0" xfId="0" applyFont="1"/>
    <xf numFmtId="0" fontId="13" fillId="0" borderId="0" xfId="0" applyFont="1" applyProtection="1"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173" fontId="13" fillId="0" borderId="0" xfId="0" applyNumberFormat="1" applyFont="1" applyProtection="1">
      <protection locked="0"/>
    </xf>
    <xf numFmtId="174" fontId="13" fillId="0" borderId="0" xfId="0" applyNumberFormat="1" applyFont="1" applyProtection="1">
      <protection locked="0"/>
    </xf>
    <xf numFmtId="0" fontId="3" fillId="0" borderId="10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right" vertical="center"/>
    </xf>
    <xf numFmtId="172" fontId="16" fillId="0" borderId="12" xfId="0" applyNumberFormat="1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Protection="1">
      <protection locked="0"/>
    </xf>
    <xf numFmtId="0" fontId="18" fillId="0" borderId="13" xfId="0" applyFont="1" applyBorder="1" applyAlignment="1" applyProtection="1">
      <alignment horizontal="left"/>
      <protection locked="0"/>
    </xf>
    <xf numFmtId="14" fontId="18" fillId="0" borderId="13" xfId="0" applyNumberFormat="1" applyFont="1" applyBorder="1" applyAlignment="1" applyProtection="1">
      <alignment horizontal="left"/>
      <protection locked="0"/>
    </xf>
    <xf numFmtId="176" fontId="18" fillId="0" borderId="4" xfId="0" applyNumberFormat="1" applyFont="1" applyBorder="1" applyAlignment="1" applyProtection="1">
      <alignment horizontal="right"/>
      <protection locked="0"/>
    </xf>
    <xf numFmtId="172" fontId="18" fillId="0" borderId="6" xfId="0" applyNumberFormat="1" applyFont="1" applyBorder="1" applyAlignment="1" applyProtection="1">
      <alignment horizontal="left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13" xfId="0" applyFont="1" applyBorder="1" applyProtection="1">
      <protection locked="0"/>
    </xf>
    <xf numFmtId="177" fontId="18" fillId="0" borderId="13" xfId="0" applyNumberFormat="1" applyFont="1" applyBorder="1" applyAlignment="1">
      <alignment horizontal="left"/>
    </xf>
    <xf numFmtId="0" fontId="18" fillId="0" borderId="2" xfId="0" applyFont="1" applyBorder="1" applyAlignment="1" applyProtection="1">
      <alignment horizontal="left"/>
      <protection locked="0"/>
    </xf>
    <xf numFmtId="14" fontId="18" fillId="0" borderId="2" xfId="0" applyNumberFormat="1" applyFont="1" applyBorder="1" applyAlignment="1" applyProtection="1">
      <alignment horizontal="left"/>
      <protection locked="0"/>
    </xf>
    <xf numFmtId="176" fontId="18" fillId="0" borderId="3" xfId="0" applyNumberFormat="1" applyFont="1" applyBorder="1" applyAlignment="1" applyProtection="1">
      <alignment horizontal="right"/>
      <protection locked="0"/>
    </xf>
    <xf numFmtId="172" fontId="18" fillId="0" borderId="1" xfId="0" applyNumberFormat="1" applyFont="1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2" xfId="0" applyFont="1" applyBorder="1" applyProtection="1">
      <protection locked="0"/>
    </xf>
    <xf numFmtId="177" fontId="18" fillId="0" borderId="2" xfId="0" applyNumberFormat="1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  <xf numFmtId="0" fontId="3" fillId="0" borderId="0" xfId="0" applyFont="1" applyAlignment="1">
      <alignment horizontal="right" vertical="center"/>
    </xf>
    <xf numFmtId="177" fontId="19" fillId="0" borderId="1" xfId="0" applyNumberFormat="1" applyFont="1" applyBorder="1" applyAlignment="1">
      <alignment horizontal="left" vertical="center" readingOrder="1"/>
    </xf>
    <xf numFmtId="0" fontId="18" fillId="0" borderId="3" xfId="0" applyFont="1" applyBorder="1" applyAlignment="1">
      <alignment horizontal="left"/>
    </xf>
    <xf numFmtId="177" fontId="18" fillId="0" borderId="0" xfId="0" applyNumberFormat="1" applyFont="1" applyAlignment="1">
      <alignment horizontal="left"/>
    </xf>
    <xf numFmtId="176" fontId="18" fillId="0" borderId="0" xfId="0" applyNumberFormat="1" applyFont="1" applyAlignment="1" applyProtection="1">
      <alignment horizontal="right"/>
      <protection locked="0"/>
    </xf>
    <xf numFmtId="172" fontId="18" fillId="0" borderId="0" xfId="0" applyNumberFormat="1" applyFont="1" applyAlignment="1" applyProtection="1">
      <alignment horizontal="left"/>
      <protection locked="0"/>
    </xf>
    <xf numFmtId="177" fontId="18" fillId="0" borderId="0" xfId="0" applyNumberFormat="1" applyFont="1" applyProtection="1">
      <protection locked="0"/>
    </xf>
    <xf numFmtId="177" fontId="18" fillId="0" borderId="0" xfId="0" applyNumberFormat="1" applyFont="1" applyAlignment="1" applyProtection="1">
      <alignment horizontal="right"/>
      <protection locked="0"/>
    </xf>
    <xf numFmtId="0" fontId="4" fillId="0" borderId="0" xfId="1" applyFill="1" applyBorder="1"/>
    <xf numFmtId="177" fontId="18" fillId="0" borderId="4" xfId="0" applyNumberFormat="1" applyFont="1" applyBorder="1" applyAlignment="1" applyProtection="1">
      <alignment horizontal="right"/>
      <protection locked="0"/>
    </xf>
    <xf numFmtId="177" fontId="18" fillId="0" borderId="3" xfId="0" applyNumberFormat="1" applyFont="1" applyBorder="1" applyAlignment="1" applyProtection="1">
      <alignment horizontal="right"/>
      <protection locked="0"/>
    </xf>
    <xf numFmtId="0" fontId="18" fillId="0" borderId="6" xfId="0" applyFont="1" applyBorder="1" applyProtection="1">
      <protection locked="0"/>
    </xf>
    <xf numFmtId="0" fontId="18" fillId="0" borderId="1" xfId="0" applyFont="1" applyBorder="1" applyProtection="1">
      <protection locked="0"/>
    </xf>
    <xf numFmtId="177" fontId="18" fillId="0" borderId="13" xfId="0" applyNumberFormat="1" applyFont="1" applyBorder="1"/>
    <xf numFmtId="177" fontId="18" fillId="0" borderId="2" xfId="0" applyNumberFormat="1" applyFont="1" applyBorder="1"/>
    <xf numFmtId="0" fontId="18" fillId="0" borderId="13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177" fontId="19" fillId="0" borderId="13" xfId="0" applyNumberFormat="1" applyFont="1" applyBorder="1" applyAlignment="1">
      <alignment horizontal="right" vertical="center"/>
    </xf>
    <xf numFmtId="177" fontId="19" fillId="0" borderId="2" xfId="0" applyNumberFormat="1" applyFont="1" applyBorder="1" applyAlignment="1">
      <alignment horizontal="right" vertical="center"/>
    </xf>
    <xf numFmtId="177" fontId="19" fillId="0" borderId="15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14" fontId="19" fillId="0" borderId="13" xfId="0" applyNumberFormat="1" applyFont="1" applyBorder="1" applyAlignment="1">
      <alignment horizontal="left" vertical="center"/>
    </xf>
    <xf numFmtId="176" fontId="19" fillId="0" borderId="4" xfId="0" applyNumberFormat="1" applyFont="1" applyBorder="1" applyAlignment="1">
      <alignment horizontal="right" vertical="center"/>
    </xf>
    <xf numFmtId="172" fontId="19" fillId="0" borderId="6" xfId="0" applyNumberFormat="1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177" fontId="19" fillId="0" borderId="4" xfId="0" applyNumberFormat="1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4" fontId="19" fillId="0" borderId="2" xfId="0" applyNumberFormat="1" applyFont="1" applyBorder="1" applyAlignment="1">
      <alignment horizontal="left" vertical="center"/>
    </xf>
    <xf numFmtId="176" fontId="19" fillId="0" borderId="3" xfId="0" applyNumberFormat="1" applyFont="1" applyBorder="1" applyAlignment="1">
      <alignment horizontal="right" vertical="center"/>
    </xf>
    <xf numFmtId="172" fontId="19" fillId="0" borderId="1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177" fontId="19" fillId="0" borderId="3" xfId="0" applyNumberFormat="1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14" fontId="19" fillId="0" borderId="15" xfId="0" applyNumberFormat="1" applyFont="1" applyBorder="1" applyAlignment="1">
      <alignment horizontal="left" vertical="center"/>
    </xf>
    <xf numFmtId="176" fontId="19" fillId="0" borderId="7" xfId="0" applyNumberFormat="1" applyFont="1" applyBorder="1" applyAlignment="1">
      <alignment horizontal="right" vertical="center"/>
    </xf>
    <xf numFmtId="172" fontId="19" fillId="0" borderId="9" xfId="0" applyNumberFormat="1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177" fontId="19" fillId="0" borderId="7" xfId="0" applyNumberFormat="1" applyFont="1" applyBorder="1" applyAlignment="1">
      <alignment vertical="center"/>
    </xf>
    <xf numFmtId="0" fontId="19" fillId="0" borderId="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177" fontId="0" fillId="0" borderId="1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6" fontId="19" fillId="0" borderId="0" xfId="0" applyNumberFormat="1" applyFont="1" applyAlignment="1">
      <alignment horizontal="right" vertical="center"/>
    </xf>
    <xf numFmtId="172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77" fontId="19" fillId="0" borderId="0" xfId="0" applyNumberFormat="1" applyFont="1" applyAlignment="1">
      <alignment vertical="center"/>
    </xf>
    <xf numFmtId="177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4" fontId="0" fillId="0" borderId="0" xfId="0" applyNumberForma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0" xfId="0" applyFont="1" applyProtection="1">
      <protection locked="0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4" fontId="0" fillId="0" borderId="0" xfId="0" applyNumberFormat="1"/>
    <xf numFmtId="14" fontId="3" fillId="0" borderId="0" xfId="0" applyNumberFormat="1" applyFont="1"/>
    <xf numFmtId="165" fontId="3" fillId="0" borderId="0" xfId="0" applyNumberFormat="1" applyFont="1"/>
    <xf numFmtId="172" fontId="3" fillId="0" borderId="0" xfId="0" applyNumberFormat="1" applyFont="1"/>
    <xf numFmtId="177" fontId="3" fillId="0" borderId="0" xfId="0" applyNumberFormat="1" applyFont="1"/>
    <xf numFmtId="165" fontId="0" fillId="0" borderId="0" xfId="0" applyNumberFormat="1"/>
    <xf numFmtId="172" fontId="0" fillId="0" borderId="0" xfId="0" applyNumberFormat="1"/>
    <xf numFmtId="177" fontId="0" fillId="0" borderId="0" xfId="0" applyNumberFormat="1"/>
    <xf numFmtId="0" fontId="25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165" fontId="26" fillId="0" borderId="0" xfId="0" applyNumberFormat="1" applyFont="1" applyAlignment="1">
      <alignment horizontal="right"/>
    </xf>
    <xf numFmtId="20" fontId="26" fillId="0" borderId="0" xfId="0" applyNumberFormat="1" applyFont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2" xfId="0" applyFont="1" applyBorder="1" applyAlignment="1">
      <alignment horizontal="left"/>
    </xf>
    <xf numFmtId="165" fontId="25" fillId="0" borderId="0" xfId="0" applyNumberFormat="1" applyFont="1" applyAlignment="1">
      <alignment horizontal="center"/>
    </xf>
    <xf numFmtId="20" fontId="24" fillId="0" borderId="1" xfId="0" applyNumberFormat="1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20" fontId="26" fillId="0" borderId="1" xfId="0" applyNumberFormat="1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169" fontId="10" fillId="0" borderId="0" xfId="0" applyNumberFormat="1" applyFont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/>
      <protection locked="0"/>
    </xf>
    <xf numFmtId="0" fontId="13" fillId="0" borderId="0" xfId="0" applyFont="1"/>
    <xf numFmtId="173" fontId="13" fillId="0" borderId="0" xfId="0" applyNumberFormat="1" applyFont="1" applyProtection="1">
      <protection locked="0"/>
    </xf>
    <xf numFmtId="0" fontId="14" fillId="0" borderId="0" xfId="0" applyFont="1" applyAlignment="1">
      <alignment horizontal="left" wrapText="1"/>
    </xf>
    <xf numFmtId="175" fontId="13" fillId="0" borderId="0" xfId="0" applyNumberFormat="1" applyFont="1" applyProtection="1">
      <protection locked="0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14" fontId="27" fillId="0" borderId="2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14" fontId="28" fillId="0" borderId="2" xfId="0" applyNumberFormat="1" applyFont="1" applyBorder="1" applyAlignment="1">
      <alignment horizontal="center"/>
    </xf>
    <xf numFmtId="14" fontId="28" fillId="0" borderId="1" xfId="0" applyNumberFormat="1" applyFont="1" applyBorder="1" applyAlignment="1">
      <alignment horizontal="center"/>
    </xf>
  </cellXfs>
  <cellStyles count="2">
    <cellStyle name="Hyperlänk" xfId="1" builtinId="8"/>
    <cellStyle name="Normal" xfId="0" builtinId="0"/>
  </cellStyles>
  <dxfs count="427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strike/>
      </font>
    </dxf>
    <dxf>
      <font>
        <color rgb="FFFF0000"/>
      </font>
    </dxf>
    <dxf>
      <font>
        <color rgb="FFFF0000"/>
      </font>
    </dxf>
    <dxf>
      <font>
        <strike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1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rgb="FFC0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rgb="FFC0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rgb="FFC0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rgb="FFC0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rgb="FFC0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strike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0" tint="-4.9989318521683403E-2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strike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/>
        <color rgb="FFFF0000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strike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rgb="FFC00000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Aptos Narrow"/>
        <family val="2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177" formatCode="#,##0&quot;:-&quot;"/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7" formatCode="#,##0&quot;:-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Aptos Narrow"/>
        <family val="2"/>
        <scheme val="minor"/>
      </font>
      <numFmt numFmtId="177" formatCode="#,##0&quot;:-&quot;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177" formatCode="#,##0&quot;:-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Aptos Narrow"/>
        <family val="2"/>
        <scheme val="minor"/>
      </font>
      <numFmt numFmtId="177" formatCode="#,##0&quot;:-&quot;"/>
      <border diagonalUp="0" diagonalDown="0" outline="0">
        <left style="thin">
          <color indexed="64"/>
        </left>
        <right/>
        <top/>
        <bottom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172" formatCode="hh:mm;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Aptos Narrow"/>
        <family val="2"/>
        <scheme val="minor"/>
      </font>
      <numFmt numFmtId="172" formatCode="hh:mm;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176" formatCode="&quot;kl &quot;hh:mm&quot; -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Aptos Narrow"/>
        <family val="2"/>
        <scheme val="minor"/>
      </font>
      <numFmt numFmtId="176" formatCode="&quot;kl &quot;hh:mm&quot; -&quot;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19" formatCode="yyyy/mm/dd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Aptos Narrow"/>
        <family val="2"/>
        <scheme val="minor"/>
      </font>
      <numFmt numFmtId="19" formatCode="yyyy/mm/dd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Aptos Narrow"/>
        <family val="2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alignment vertical="center" textRotation="0" indent="0" justifyLastLine="0" shrinkToFit="0" readingOrder="0"/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alignment vertical="center" textRotation="0" indent="0" justifyLastLine="0" shrinkToFit="0" readingOrder="0"/>
      <protection locked="1" hidden="0"/>
    </dxf>
    <dxf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numFmt numFmtId="177" formatCode="#,##0&quot;:-&quot;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numFmt numFmtId="177" formatCode="#,##0&quot;:-&quot;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Aptos Narrow"/>
        <family val="2"/>
        <scheme val="minor"/>
      </font>
      <numFmt numFmtId="177" formatCode="#,##0&quot;:-&quot;"/>
      <alignment horizontal="left" vertical="center" textRotation="0" wrapText="0" indent="0" justifyLastLine="0" shrinkToFit="0" readingOrder="1"/>
      <border diagonalUp="0" diagonalDown="0" outline="0">
        <left/>
        <right style="thin">
          <color auto="1"/>
        </right>
        <top/>
        <bottom/>
      </border>
    </dxf>
    <dxf>
      <numFmt numFmtId="177" formatCode="#,##0&quot;:-&quot;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right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numFmt numFmtId="177" formatCode="#,##0&quot;:-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Aptos Narrow"/>
        <family val="2"/>
        <scheme val="minor"/>
      </font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numFmt numFmtId="172" formatCode="hh:mm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numFmt numFmtId="176" formatCode="&quot;kl &quot;hh:mm&quot; -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numFmt numFmtId="19" formatCode="yyyy/mm/dd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border>
        <top style="thin">
          <color rgb="FF000000"/>
        </top>
      </border>
    </dxf>
    <dxf>
      <fill>
        <patternFill patternType="none">
          <fgColor rgb="FF000000"/>
          <bgColor auto="1"/>
        </patternFill>
      </fill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numFmt numFmtId="177" formatCode="#,##0&quot;:-&quot;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numFmt numFmtId="177" formatCode="#,##0&quot;:-&quot;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Aptos Narrow"/>
        <family val="2"/>
        <scheme val="minor"/>
      </font>
      <numFmt numFmtId="177" formatCode="#,##0&quot;:-&quot;"/>
      <alignment horizontal="left" vertical="center" textRotation="0" wrapText="0" indent="0" justifyLastLine="0" shrinkToFit="0" readingOrder="1"/>
      <border diagonalUp="0" diagonalDown="0" outline="0">
        <left/>
        <right style="thin">
          <color auto="1"/>
        </right>
        <top/>
        <bottom/>
      </border>
    </dxf>
    <dxf>
      <numFmt numFmtId="177" formatCode="#,##0&quot;:-&quot;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right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numFmt numFmtId="177" formatCode="#,##0&quot;:-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Aptos Narrow"/>
        <family val="2"/>
        <scheme val="minor"/>
      </font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numFmt numFmtId="172" formatCode="hh:mm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numFmt numFmtId="176" formatCode="&quot;kl &quot;hh:mm&quot; -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numFmt numFmtId="19" formatCode="yyyy/mm/dd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border>
        <top style="thin">
          <color indexed="64"/>
        </top>
      </border>
    </dxf>
    <dxf>
      <fill>
        <patternFill patternType="none">
          <fgColor indexed="64"/>
          <bgColor auto="1"/>
        </patternFill>
      </fill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protection locked="1" hidden="0"/>
    </dxf>
    <dxf>
      <protection locked="1" hidden="0"/>
    </dxf>
    <dxf>
      <protection locked="1" hidden="0"/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</font>
    </dxf>
    <dxf>
      <numFmt numFmtId="166" formatCode="#,##0&quot; :-&quot;"/>
    </dxf>
    <dxf>
      <numFmt numFmtId="166" formatCode="#,##0&quot; :-&quot;"/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</font>
      <numFmt numFmtId="164" formatCode="00000000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25" formatCode="hh:mm"/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25" formatCode="hh:mm"/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25" formatCode="hh:mm"/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25" formatCode="hh:mm"/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25" formatCode="hh:mm"/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25" formatCode="hh:mm"/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25" formatCode="hh:mm"/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25" formatCode="hh:mm"/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25" formatCode="hh:mm"/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25" formatCode="hh:mm"/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25" formatCode="hh:mm"/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25" formatCode="hh:mm"/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</border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horizontal style="thin">
          <color auto="1"/>
        </horizontal>
      </border>
    </dxf>
    <dxf>
      <fill>
        <patternFill>
          <bgColor theme="0" tint="-0.1499679555650502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color theme="1"/>
      </font>
      <fill>
        <patternFill>
          <bgColor theme="0" tint="-0.1499679555650502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>
          <bgColor theme="0" tint="-4.9989318521683403E-2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horizontal style="thin">
          <color auto="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fill>
        <patternFill>
          <bgColor theme="0" tint="-0.14996795556505021"/>
        </patternFill>
      </fill>
      <border>
        <top style="thin">
          <color theme="1"/>
        </top>
      </border>
    </dxf>
    <dxf>
      <font>
        <b/>
        <color theme="1"/>
      </font>
      <fill>
        <patternFill>
          <bgColor theme="0" tint="-0.14996795556505021"/>
        </patternFill>
      </fill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</dxfs>
  <tableStyles count="3" defaultTableStyle="Tabellformat 1" defaultPivotStyle="PivotStyleLight16">
    <tableStyle name="Bokningsbekräftelse" pivot="0" count="7" xr9:uid="{D78337B2-4DE8-4519-A634-CB7EFFD5E713}">
      <tableStyleElement type="wholeTable" dxfId="4273"/>
      <tableStyleElement type="headerRow" dxfId="4272"/>
      <tableStyleElement type="totalRow" dxfId="4271"/>
      <tableStyleElement type="firstColumn" dxfId="4270"/>
      <tableStyleElement type="lastColumn" dxfId="4269"/>
      <tableStyleElement type="firstRowStripe" dxfId="4268"/>
      <tableStyleElement type="firstColumnStripe" dxfId="4267"/>
    </tableStyle>
    <tableStyle name="Hallbokningsschema 2" pivot="0" count="3" xr9:uid="{A06FC7F2-F574-4899-87B0-16651310953B}">
      <tableStyleElement type="wholeTable" dxfId="4266"/>
      <tableStyleElement type="headerRow" dxfId="4265"/>
      <tableStyleElement type="totalRow" dxfId="4264"/>
    </tableStyle>
    <tableStyle name="Tabellformat 1" pivot="0" count="3" xr9:uid="{E28212BF-CEA5-45F4-AFED-79DA4AA48119}">
      <tableStyleElement type="wholeTable" dxfId="4263"/>
      <tableStyleElement type="headerRow" dxfId="4262"/>
      <tableStyleElement type="totalRow" dxfId="426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styles" Target="styles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microsoft.com/office/2017/10/relationships/person" Target="persons/perso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microsoft.com/office/2022/11/relationships/FeaturePropertyBag" Target="featurePropertyBag/featurePropertyBag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sterasfriidrott.se/bokningar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sterasfriidrott.se/bokningar/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133350</xdr:rowOff>
    </xdr:from>
    <xdr:to>
      <xdr:col>8</xdr:col>
      <xdr:colOff>1323975</xdr:colOff>
      <xdr:row>37</xdr:row>
      <xdr:rowOff>142875</xdr:rowOff>
    </xdr:to>
    <xdr:sp macro="" textlink="">
      <xdr:nvSpPr>
        <xdr:cNvPr id="2" name="textru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171FB4-3F28-48C3-8B5F-BFE53E403435}"/>
            </a:ext>
          </a:extLst>
        </xdr:cNvPr>
        <xdr:cNvSpPr txBox="1"/>
      </xdr:nvSpPr>
      <xdr:spPr>
        <a:xfrm>
          <a:off x="0" y="3288030"/>
          <a:ext cx="4852035" cy="42157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Bokningsvillkor och övrig information</a:t>
          </a:r>
          <a:endParaRPr kumimoji="0" lang="sv-S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Eventuell av-/ombokningar meddelas kansliet via mejl eller telefon minst två veckor innan bokat besök.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Vid utebliven avbokning debiteras full avgift.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Ni kan komma att dela hallen med andra grupper såvida ni inte vid bokningstillfället angivit att ni vill ha hela hallen för er själva* (innebär extra kostnad).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 Västerås Friidrotts hallbokningsschema kan ni följa bokningsläget och se huruvida ni kommer ha hallen för er  själva eller ej. Hallbokningsschemat uppdateras kontinuerligt och det senast uppdaterade schemat publiceras på </a:t>
          </a: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Västerås Friidrottsklubbs hemsida: </a:t>
          </a:r>
          <a:r>
            <a:rPr lang="sv-SE">
              <a:latin typeface="Calibri" panose="020F0502020204030204" pitchFamily="34" charset="0"/>
              <a:cs typeface="Calibri" panose="020F0502020204030204" pitchFamily="34" charset="0"/>
              <a:hlinkClick xmlns:r="http://schemas.openxmlformats.org/officeDocument/2006/relationships" r:id=""/>
            </a:rPr>
            <a:t>Boka Westinghouse hallen i Västerås (vasterasfriidrott.se)</a:t>
          </a:r>
          <a:endParaRPr kumimoji="0" lang="sv-S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alibri" panose="020F0502020204030204" pitchFamily="34" charset="0"/>
            <a:buChar char="*"/>
            <a:tabLst/>
            <a:defRPr/>
          </a:pP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Westinghouse arena har några stående bokningar som kan komma att vistas i hallen även om ni abonnerar hela hallen. Dessa bokningar håller sig dock på sidan om övrig verksamhet.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alibri" panose="020F0502020204030204" pitchFamily="34" charset="0"/>
            <a:buChar char="*"/>
            <a:tabLst/>
            <a:defRPr/>
          </a:pPr>
          <a:endParaRPr kumimoji="0" lang="sv-S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Varmt välkomna!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Västerås Friidrottsklubb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kansliet@vasterasfriidrott.se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021-135960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Besöksadress: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Kungsängsgatan 8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721 30 Västerås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133350</xdr:rowOff>
    </xdr:from>
    <xdr:to>
      <xdr:col>8</xdr:col>
      <xdr:colOff>1316355</xdr:colOff>
      <xdr:row>37</xdr:row>
      <xdr:rowOff>135255</xdr:rowOff>
    </xdr:to>
    <xdr:sp macro="" textlink="">
      <xdr:nvSpPr>
        <xdr:cNvPr id="2" name="textru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C9A317-BD13-49CB-BCF0-64B8EAE35CD8}"/>
            </a:ext>
          </a:extLst>
        </xdr:cNvPr>
        <xdr:cNvSpPr txBox="1"/>
      </xdr:nvSpPr>
      <xdr:spPr>
        <a:xfrm>
          <a:off x="0" y="3381375"/>
          <a:ext cx="4848225" cy="43910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Bokningsvillkor och övrig information</a:t>
          </a:r>
          <a:endParaRPr kumimoji="0" lang="sv-S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Eventuell av-/ombokningar meddelas kansliet via mejl eller telefon minst två veckor innan bokat besök.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Vid utebliven avbokning debiteras full avgift.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Ni kan komma att dela hallen med andra grupper såvida ni inte vid bokningstillfället angivit att ni vill ha hela hallen för er själva* (innebär extra kostnad).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 Västerås Friidrotts hallbokningsschema kan ni följa bokningsläget och se huruvida ni kommer ha hallen för er  själva eller ej. Hallbokningsschemat uppdateras kontinuerligt och det senast uppdaterade schemat publiceras på </a:t>
          </a: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Västerås Friidrottsklubbs hemsida: </a:t>
          </a:r>
          <a:r>
            <a:rPr lang="sv-SE">
              <a:latin typeface="Calibri" panose="020F0502020204030204" pitchFamily="34" charset="0"/>
              <a:cs typeface="Calibri" panose="020F0502020204030204" pitchFamily="34" charset="0"/>
              <a:hlinkClick xmlns:r="http://schemas.openxmlformats.org/officeDocument/2006/relationships" r:id=""/>
            </a:rPr>
            <a:t>Boka Westinghouse hallen i Västerås (vasterasfriidrott.se)</a:t>
          </a:r>
          <a:endParaRPr kumimoji="0" lang="sv-S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alibri" panose="020F0502020204030204" pitchFamily="34" charset="0"/>
            <a:buChar char="*"/>
            <a:tabLst/>
            <a:defRPr/>
          </a:pP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Westinghouse arena har några stående bokningar som kan komma att vistas i hallen även om ni abonnerar hela hallen. Dessa bokningar håller sig dock på sidan om övrig verksamhet.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alibri" panose="020F0502020204030204" pitchFamily="34" charset="0"/>
            <a:buChar char="*"/>
            <a:tabLst/>
            <a:defRPr/>
          </a:pPr>
          <a:endParaRPr kumimoji="0" lang="sv-S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Varmt välkomna!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Västerås Friidrottsklubb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kansliet@vasterasfriidrott.se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021-135960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Besöksadress: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Kungsängsgatan 8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721 30 Västerås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198120</xdr:colOff>
          <xdr:row>0</xdr:row>
          <xdr:rowOff>60960</xdr:rowOff>
        </xdr:from>
        <xdr:to>
          <xdr:col>8</xdr:col>
          <xdr:colOff>312420</xdr:colOff>
          <xdr:row>2</xdr:row>
          <xdr:rowOff>114300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3B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sv-SE" sz="1100" b="1" i="0" u="none" strike="noStrike" baseline="0">
                  <a:solidFill>
                    <a:srgbClr val="000000"/>
                  </a:solidFill>
                  <a:latin typeface="Aptos Narrow"/>
                </a:rPr>
                <a:t>Skapa fakturaunderlag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asterasfriidrott.sharepoint.com/Delade%20dokument/KANSLIET/Lollo/8.%20Testdokument/Hallbokningar%202025,%20test.xlsm" TargetMode="External"/><Relationship Id="rId1" Type="http://schemas.openxmlformats.org/officeDocument/2006/relationships/externalLinkPath" Target="/Delade%20dokument/KANSLIET/Lollo/8.%20Testdokument/Hallbokningar%202025,%20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. 27, 30 jun-6 jul"/>
      <sheetName val="V. 28, 7 jul-13 jul"/>
      <sheetName val="V. 29, 14 jul-20 jul"/>
      <sheetName val="V. 30, 21 jul-27 jul"/>
      <sheetName val="V. 31, 28 jul-3 aug"/>
      <sheetName val="V. 32, 4 aug-10 aug"/>
      <sheetName val="V. 33, 11 aug-17 aug"/>
      <sheetName val="V. 34, 18 aug-24 aug"/>
      <sheetName val="V. 35, 25 aug-31 aug"/>
      <sheetName val="V. 36, 1 sep-7 sep"/>
      <sheetName val="V. 37, 8 sep-14 sep"/>
      <sheetName val="V. 38, 15 sep-21 sep"/>
      <sheetName val="V. 39, 22 sep-28 sep"/>
      <sheetName val="V. 40, 29 sep-5 okt"/>
      <sheetName val="V. 41, 6 okt-12 okt"/>
      <sheetName val="V. 42, 13 okt-19 okt"/>
      <sheetName val="V. 43, 20 okt-26 okt"/>
      <sheetName val="V. 44, 27 okt-2 nov"/>
      <sheetName val="V. 45, 3 nov-9 nov"/>
      <sheetName val="V. 46, 10 nov-16 nov"/>
      <sheetName val="V. 47, 17 nov-23 nov"/>
      <sheetName val="V. 48, 24 nov-30 nov"/>
      <sheetName val="V. 49, 1 dec-7 dec"/>
      <sheetName val="V. 50, 8 dec-14 dec"/>
      <sheetName val="V. 51, 15 dec-21 dec"/>
      <sheetName val="V. 52, 22 dec-28 dec"/>
      <sheetName val="V. 1, 29 dec-4 jan"/>
      <sheetName val="Kontaktuppgifter"/>
      <sheetName val="Fakturamall"/>
      <sheetName val="Kalenderår"/>
      <sheetName val="Listor"/>
      <sheetName val="Sammanställning fakturering"/>
      <sheetName val="Sammanställning bekräftelse"/>
      <sheetName val="Bokningsbekräfte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>
        <row r="2">
          <cell r="D2">
            <v>45656</v>
          </cell>
          <cell r="E2">
            <v>45657</v>
          </cell>
          <cell r="F2">
            <v>45658</v>
          </cell>
          <cell r="G2">
            <v>45659</v>
          </cell>
          <cell r="H2">
            <v>45660</v>
          </cell>
          <cell r="I2">
            <v>45661</v>
          </cell>
          <cell r="J2">
            <v>45662</v>
          </cell>
        </row>
        <row r="3">
          <cell r="D3">
            <v>45663</v>
          </cell>
          <cell r="E3">
            <v>45664</v>
          </cell>
          <cell r="F3">
            <v>45665</v>
          </cell>
          <cell r="G3">
            <v>45666</v>
          </cell>
          <cell r="H3">
            <v>45667</v>
          </cell>
          <cell r="I3">
            <v>45668</v>
          </cell>
          <cell r="J3">
            <v>45669</v>
          </cell>
        </row>
        <row r="4">
          <cell r="D4">
            <v>45670</v>
          </cell>
          <cell r="E4">
            <v>45671</v>
          </cell>
          <cell r="F4">
            <v>45672</v>
          </cell>
          <cell r="G4">
            <v>45673</v>
          </cell>
          <cell r="H4">
            <v>45674</v>
          </cell>
          <cell r="I4">
            <v>45675</v>
          </cell>
          <cell r="J4">
            <v>45676</v>
          </cell>
        </row>
        <row r="5">
          <cell r="D5">
            <v>45677</v>
          </cell>
          <cell r="E5">
            <v>45678</v>
          </cell>
          <cell r="F5">
            <v>45679</v>
          </cell>
          <cell r="G5">
            <v>45680</v>
          </cell>
          <cell r="H5">
            <v>45681</v>
          </cell>
          <cell r="I5">
            <v>45682</v>
          </cell>
          <cell r="J5">
            <v>45683</v>
          </cell>
        </row>
        <row r="6">
          <cell r="D6">
            <v>45684</v>
          </cell>
          <cell r="E6">
            <v>45685</v>
          </cell>
          <cell r="F6">
            <v>45686</v>
          </cell>
          <cell r="G6">
            <v>45687</v>
          </cell>
          <cell r="H6">
            <v>45688</v>
          </cell>
          <cell r="I6">
            <v>45689</v>
          </cell>
          <cell r="J6">
            <v>45690</v>
          </cell>
        </row>
        <row r="7">
          <cell r="D7">
            <v>45691</v>
          </cell>
          <cell r="E7">
            <v>45692</v>
          </cell>
          <cell r="F7">
            <v>45693</v>
          </cell>
          <cell r="G7">
            <v>45694</v>
          </cell>
          <cell r="H7">
            <v>45695</v>
          </cell>
          <cell r="I7">
            <v>45696</v>
          </cell>
          <cell r="J7">
            <v>45697</v>
          </cell>
        </row>
        <row r="8">
          <cell r="D8">
            <v>45698</v>
          </cell>
          <cell r="E8">
            <v>45699</v>
          </cell>
          <cell r="F8">
            <v>45700</v>
          </cell>
          <cell r="G8">
            <v>45701</v>
          </cell>
          <cell r="H8">
            <v>45702</v>
          </cell>
          <cell r="I8">
            <v>45703</v>
          </cell>
          <cell r="J8">
            <v>45704</v>
          </cell>
        </row>
        <row r="9">
          <cell r="D9">
            <v>45705</v>
          </cell>
          <cell r="E9">
            <v>45706</v>
          </cell>
          <cell r="F9">
            <v>45707</v>
          </cell>
          <cell r="G9">
            <v>45708</v>
          </cell>
          <cell r="H9">
            <v>45709</v>
          </cell>
          <cell r="I9">
            <v>45710</v>
          </cell>
          <cell r="J9">
            <v>45711</v>
          </cell>
        </row>
        <row r="10">
          <cell r="D10">
            <v>45712</v>
          </cell>
          <cell r="E10">
            <v>45713</v>
          </cell>
          <cell r="F10">
            <v>45714</v>
          </cell>
          <cell r="G10">
            <v>45715</v>
          </cell>
          <cell r="H10">
            <v>45716</v>
          </cell>
          <cell r="I10">
            <v>45717</v>
          </cell>
          <cell r="J10">
            <v>45718</v>
          </cell>
        </row>
        <row r="11">
          <cell r="D11">
            <v>45719</v>
          </cell>
          <cell r="E11">
            <v>45720</v>
          </cell>
          <cell r="F11">
            <v>45721</v>
          </cell>
          <cell r="G11">
            <v>45722</v>
          </cell>
          <cell r="H11">
            <v>45723</v>
          </cell>
          <cell r="I11">
            <v>45724</v>
          </cell>
          <cell r="J11">
            <v>45725</v>
          </cell>
        </row>
        <row r="12">
          <cell r="D12">
            <v>45726</v>
          </cell>
          <cell r="E12">
            <v>45727</v>
          </cell>
          <cell r="F12">
            <v>45728</v>
          </cell>
          <cell r="G12">
            <v>45729</v>
          </cell>
          <cell r="H12">
            <v>45730</v>
          </cell>
          <cell r="I12">
            <v>45731</v>
          </cell>
          <cell r="J12">
            <v>45732</v>
          </cell>
        </row>
        <row r="13">
          <cell r="D13">
            <v>45733</v>
          </cell>
          <cell r="E13">
            <v>45734</v>
          </cell>
          <cell r="F13">
            <v>45735</v>
          </cell>
          <cell r="G13">
            <v>45736</v>
          </cell>
          <cell r="H13">
            <v>45737</v>
          </cell>
          <cell r="I13">
            <v>45738</v>
          </cell>
          <cell r="J13">
            <v>45739</v>
          </cell>
        </row>
        <row r="14">
          <cell r="D14">
            <v>45740</v>
          </cell>
          <cell r="E14">
            <v>45741</v>
          </cell>
          <cell r="F14">
            <v>45742</v>
          </cell>
          <cell r="G14">
            <v>45743</v>
          </cell>
          <cell r="H14">
            <v>45744</v>
          </cell>
          <cell r="I14">
            <v>45745</v>
          </cell>
          <cell r="J14">
            <v>45746</v>
          </cell>
        </row>
        <row r="15">
          <cell r="D15">
            <v>45747</v>
          </cell>
          <cell r="E15">
            <v>45748</v>
          </cell>
          <cell r="F15">
            <v>45749</v>
          </cell>
          <cell r="G15">
            <v>45750</v>
          </cell>
          <cell r="H15">
            <v>45751</v>
          </cell>
          <cell r="I15">
            <v>45752</v>
          </cell>
          <cell r="J15">
            <v>45753</v>
          </cell>
        </row>
        <row r="16">
          <cell r="D16">
            <v>45754</v>
          </cell>
          <cell r="E16">
            <v>45755</v>
          </cell>
          <cell r="F16">
            <v>45756</v>
          </cell>
          <cell r="G16">
            <v>45757</v>
          </cell>
          <cell r="H16">
            <v>45758</v>
          </cell>
          <cell r="I16">
            <v>45759</v>
          </cell>
          <cell r="J16">
            <v>45760</v>
          </cell>
        </row>
        <row r="17">
          <cell r="D17">
            <v>45761</v>
          </cell>
          <cell r="E17">
            <v>45762</v>
          </cell>
          <cell r="F17">
            <v>45763</v>
          </cell>
          <cell r="G17">
            <v>45764</v>
          </cell>
          <cell r="H17">
            <v>45765</v>
          </cell>
          <cell r="I17">
            <v>45766</v>
          </cell>
          <cell r="J17">
            <v>45767</v>
          </cell>
        </row>
        <row r="18">
          <cell r="D18">
            <v>45768</v>
          </cell>
          <cell r="E18">
            <v>45769</v>
          </cell>
          <cell r="F18">
            <v>45770</v>
          </cell>
          <cell r="G18">
            <v>45771</v>
          </cell>
          <cell r="H18">
            <v>45772</v>
          </cell>
          <cell r="I18">
            <v>45773</v>
          </cell>
          <cell r="J18">
            <v>45774</v>
          </cell>
        </row>
        <row r="19">
          <cell r="D19">
            <v>45775</v>
          </cell>
          <cell r="E19">
            <v>45776</v>
          </cell>
          <cell r="F19">
            <v>45777</v>
          </cell>
          <cell r="G19">
            <v>45778</v>
          </cell>
          <cell r="H19">
            <v>45779</v>
          </cell>
          <cell r="I19">
            <v>45780</v>
          </cell>
          <cell r="J19">
            <v>45781</v>
          </cell>
        </row>
        <row r="20">
          <cell r="D20">
            <v>45782</v>
          </cell>
          <cell r="E20">
            <v>45783</v>
          </cell>
          <cell r="F20">
            <v>45784</v>
          </cell>
          <cell r="G20">
            <v>45785</v>
          </cell>
          <cell r="H20">
            <v>45786</v>
          </cell>
          <cell r="I20">
            <v>45787</v>
          </cell>
          <cell r="J20">
            <v>45788</v>
          </cell>
        </row>
        <row r="21">
          <cell r="D21">
            <v>45789</v>
          </cell>
          <cell r="E21">
            <v>45790</v>
          </cell>
          <cell r="F21">
            <v>45791</v>
          </cell>
          <cell r="G21">
            <v>45792</v>
          </cell>
          <cell r="H21">
            <v>45793</v>
          </cell>
          <cell r="I21">
            <v>45794</v>
          </cell>
          <cell r="J21">
            <v>45795</v>
          </cell>
        </row>
        <row r="22">
          <cell r="D22">
            <v>45796</v>
          </cell>
          <cell r="E22">
            <v>45797</v>
          </cell>
          <cell r="F22">
            <v>45798</v>
          </cell>
          <cell r="G22">
            <v>45799</v>
          </cell>
          <cell r="H22">
            <v>45800</v>
          </cell>
          <cell r="I22">
            <v>45801</v>
          </cell>
          <cell r="J22">
            <v>45802</v>
          </cell>
        </row>
        <row r="23">
          <cell r="D23">
            <v>45803</v>
          </cell>
          <cell r="E23">
            <v>45804</v>
          </cell>
          <cell r="F23">
            <v>45805</v>
          </cell>
          <cell r="G23">
            <v>45806</v>
          </cell>
          <cell r="H23">
            <v>45807</v>
          </cell>
          <cell r="I23">
            <v>45808</v>
          </cell>
          <cell r="J23">
            <v>45809</v>
          </cell>
        </row>
        <row r="24">
          <cell r="D24">
            <v>45810</v>
          </cell>
          <cell r="E24">
            <v>45811</v>
          </cell>
          <cell r="F24">
            <v>45812</v>
          </cell>
          <cell r="G24">
            <v>45813</v>
          </cell>
          <cell r="H24">
            <v>45814</v>
          </cell>
          <cell r="I24">
            <v>45815</v>
          </cell>
          <cell r="J24">
            <v>45816</v>
          </cell>
        </row>
        <row r="25">
          <cell r="D25">
            <v>45817</v>
          </cell>
          <cell r="E25">
            <v>45818</v>
          </cell>
          <cell r="F25">
            <v>45819</v>
          </cell>
          <cell r="G25">
            <v>45820</v>
          </cell>
          <cell r="H25">
            <v>45821</v>
          </cell>
          <cell r="I25">
            <v>45822</v>
          </cell>
          <cell r="J25">
            <v>45823</v>
          </cell>
        </row>
        <row r="26">
          <cell r="D26">
            <v>45824</v>
          </cell>
          <cell r="E26">
            <v>45825</v>
          </cell>
          <cell r="F26">
            <v>45826</v>
          </cell>
          <cell r="G26">
            <v>45827</v>
          </cell>
          <cell r="H26">
            <v>45828</v>
          </cell>
          <cell r="I26">
            <v>45829</v>
          </cell>
          <cell r="J26">
            <v>45830</v>
          </cell>
        </row>
        <row r="27">
          <cell r="D27">
            <v>45831</v>
          </cell>
          <cell r="E27">
            <v>45832</v>
          </cell>
          <cell r="F27">
            <v>45833</v>
          </cell>
          <cell r="G27">
            <v>45834</v>
          </cell>
          <cell r="H27">
            <v>45835</v>
          </cell>
          <cell r="I27">
            <v>45836</v>
          </cell>
          <cell r="J27">
            <v>45837</v>
          </cell>
        </row>
        <row r="28">
          <cell r="D28">
            <v>45838</v>
          </cell>
          <cell r="E28">
            <v>45839</v>
          </cell>
          <cell r="F28">
            <v>45840</v>
          </cell>
          <cell r="G28">
            <v>45841</v>
          </cell>
          <cell r="H28">
            <v>45842</v>
          </cell>
          <cell r="I28">
            <v>45843</v>
          </cell>
          <cell r="J28">
            <v>45844</v>
          </cell>
        </row>
        <row r="29">
          <cell r="D29">
            <v>45845</v>
          </cell>
          <cell r="E29">
            <v>45846</v>
          </cell>
          <cell r="F29">
            <v>45847</v>
          </cell>
          <cell r="G29">
            <v>45848</v>
          </cell>
          <cell r="H29">
            <v>45849</v>
          </cell>
          <cell r="I29">
            <v>45850</v>
          </cell>
          <cell r="J29">
            <v>45851</v>
          </cell>
        </row>
        <row r="30">
          <cell r="D30">
            <v>45852</v>
          </cell>
          <cell r="E30">
            <v>45853</v>
          </cell>
          <cell r="F30">
            <v>45854</v>
          </cell>
          <cell r="G30">
            <v>45855</v>
          </cell>
          <cell r="H30">
            <v>45856</v>
          </cell>
          <cell r="I30">
            <v>45857</v>
          </cell>
          <cell r="J30">
            <v>45858</v>
          </cell>
        </row>
        <row r="31">
          <cell r="D31">
            <v>45859</v>
          </cell>
          <cell r="E31">
            <v>45860</v>
          </cell>
          <cell r="F31">
            <v>45861</v>
          </cell>
          <cell r="G31">
            <v>45862</v>
          </cell>
          <cell r="H31">
            <v>45863</v>
          </cell>
          <cell r="I31">
            <v>45864</v>
          </cell>
          <cell r="J31">
            <v>45865</v>
          </cell>
        </row>
        <row r="32">
          <cell r="D32">
            <v>45866</v>
          </cell>
          <cell r="E32">
            <v>45867</v>
          </cell>
          <cell r="F32">
            <v>45868</v>
          </cell>
          <cell r="G32">
            <v>45869</v>
          </cell>
          <cell r="H32">
            <v>45870</v>
          </cell>
          <cell r="I32">
            <v>45871</v>
          </cell>
          <cell r="J32">
            <v>45872</v>
          </cell>
        </row>
        <row r="33">
          <cell r="D33">
            <v>45873</v>
          </cell>
          <cell r="E33">
            <v>45874</v>
          </cell>
          <cell r="F33">
            <v>45875</v>
          </cell>
          <cell r="G33">
            <v>45876</v>
          </cell>
          <cell r="H33">
            <v>45877</v>
          </cell>
          <cell r="I33">
            <v>45878</v>
          </cell>
          <cell r="J33">
            <v>45879</v>
          </cell>
        </row>
        <row r="34">
          <cell r="D34">
            <v>45880</v>
          </cell>
          <cell r="E34">
            <v>45881</v>
          </cell>
          <cell r="F34">
            <v>45882</v>
          </cell>
          <cell r="G34">
            <v>45883</v>
          </cell>
          <cell r="H34">
            <v>45884</v>
          </cell>
          <cell r="I34">
            <v>45885</v>
          </cell>
          <cell r="J34">
            <v>45886</v>
          </cell>
        </row>
        <row r="35">
          <cell r="D35">
            <v>45887</v>
          </cell>
          <cell r="E35">
            <v>45888</v>
          </cell>
          <cell r="F35">
            <v>45889</v>
          </cell>
          <cell r="G35">
            <v>45890</v>
          </cell>
          <cell r="H35">
            <v>45891</v>
          </cell>
          <cell r="I35">
            <v>45892</v>
          </cell>
          <cell r="J35">
            <v>45893</v>
          </cell>
        </row>
        <row r="36">
          <cell r="D36">
            <v>45894</v>
          </cell>
          <cell r="E36">
            <v>45895</v>
          </cell>
          <cell r="F36">
            <v>45896</v>
          </cell>
          <cell r="G36">
            <v>45897</v>
          </cell>
          <cell r="H36">
            <v>45898</v>
          </cell>
          <cell r="I36">
            <v>45899</v>
          </cell>
          <cell r="J36">
            <v>45900</v>
          </cell>
        </row>
        <row r="37">
          <cell r="D37">
            <v>45901</v>
          </cell>
          <cell r="E37">
            <v>45902</v>
          </cell>
          <cell r="F37">
            <v>45903</v>
          </cell>
          <cell r="G37">
            <v>45904</v>
          </cell>
          <cell r="H37">
            <v>45905</v>
          </cell>
          <cell r="I37">
            <v>45906</v>
          </cell>
          <cell r="J37">
            <v>45907</v>
          </cell>
        </row>
        <row r="38">
          <cell r="D38">
            <v>45908</v>
          </cell>
          <cell r="E38">
            <v>45909</v>
          </cell>
          <cell r="F38">
            <v>45910</v>
          </cell>
          <cell r="G38">
            <v>45911</v>
          </cell>
          <cell r="H38">
            <v>45912</v>
          </cell>
          <cell r="I38">
            <v>45913</v>
          </cell>
          <cell r="J38">
            <v>45914</v>
          </cell>
        </row>
        <row r="39">
          <cell r="D39">
            <v>45915</v>
          </cell>
          <cell r="E39">
            <v>45916</v>
          </cell>
          <cell r="F39">
            <v>45917</v>
          </cell>
          <cell r="G39">
            <v>45918</v>
          </cell>
          <cell r="H39">
            <v>45919</v>
          </cell>
          <cell r="I39">
            <v>45920</v>
          </cell>
          <cell r="J39">
            <v>45921</v>
          </cell>
        </row>
        <row r="40">
          <cell r="D40">
            <v>45922</v>
          </cell>
          <cell r="E40">
            <v>45923</v>
          </cell>
          <cell r="F40">
            <v>45924</v>
          </cell>
          <cell r="G40">
            <v>45925</v>
          </cell>
          <cell r="H40">
            <v>45926</v>
          </cell>
          <cell r="I40">
            <v>45927</v>
          </cell>
          <cell r="J40">
            <v>45928</v>
          </cell>
        </row>
        <row r="41">
          <cell r="D41">
            <v>45929</v>
          </cell>
          <cell r="E41">
            <v>45930</v>
          </cell>
          <cell r="F41">
            <v>45931</v>
          </cell>
          <cell r="G41">
            <v>45932</v>
          </cell>
          <cell r="H41">
            <v>45933</v>
          </cell>
          <cell r="I41">
            <v>45934</v>
          </cell>
          <cell r="J41">
            <v>45935</v>
          </cell>
        </row>
        <row r="42">
          <cell r="D42">
            <v>45936</v>
          </cell>
          <cell r="E42">
            <v>45937</v>
          </cell>
          <cell r="F42">
            <v>45938</v>
          </cell>
          <cell r="G42">
            <v>45939</v>
          </cell>
          <cell r="H42">
            <v>45940</v>
          </cell>
          <cell r="I42">
            <v>45941</v>
          </cell>
          <cell r="J42">
            <v>45942</v>
          </cell>
        </row>
        <row r="43">
          <cell r="D43">
            <v>45943</v>
          </cell>
          <cell r="E43">
            <v>45944</v>
          </cell>
          <cell r="F43">
            <v>45945</v>
          </cell>
          <cell r="G43">
            <v>45946</v>
          </cell>
          <cell r="H43">
            <v>45947</v>
          </cell>
          <cell r="I43">
            <v>45948</v>
          </cell>
          <cell r="J43">
            <v>45949</v>
          </cell>
        </row>
        <row r="44">
          <cell r="D44">
            <v>45950</v>
          </cell>
          <cell r="E44">
            <v>45951</v>
          </cell>
          <cell r="F44">
            <v>45952</v>
          </cell>
          <cell r="G44">
            <v>45953</v>
          </cell>
          <cell r="H44">
            <v>45954</v>
          </cell>
          <cell r="I44">
            <v>45955</v>
          </cell>
          <cell r="J44">
            <v>45956</v>
          </cell>
        </row>
        <row r="45">
          <cell r="D45">
            <v>45957</v>
          </cell>
          <cell r="E45">
            <v>45958</v>
          </cell>
          <cell r="F45">
            <v>45959</v>
          </cell>
          <cell r="G45">
            <v>45960</v>
          </cell>
          <cell r="H45">
            <v>45961</v>
          </cell>
          <cell r="I45">
            <v>45962</v>
          </cell>
          <cell r="J45">
            <v>45963</v>
          </cell>
        </row>
        <row r="46">
          <cell r="D46">
            <v>45964</v>
          </cell>
          <cell r="E46">
            <v>45965</v>
          </cell>
          <cell r="F46">
            <v>45966</v>
          </cell>
          <cell r="G46">
            <v>45967</v>
          </cell>
          <cell r="H46">
            <v>45968</v>
          </cell>
          <cell r="I46">
            <v>45969</v>
          </cell>
          <cell r="J46">
            <v>45970</v>
          </cell>
        </row>
        <row r="47">
          <cell r="D47">
            <v>45971</v>
          </cell>
          <cell r="E47">
            <v>45972</v>
          </cell>
          <cell r="F47">
            <v>45973</v>
          </cell>
          <cell r="G47">
            <v>45974</v>
          </cell>
          <cell r="H47">
            <v>45975</v>
          </cell>
          <cell r="I47">
            <v>45976</v>
          </cell>
          <cell r="J47">
            <v>45977</v>
          </cell>
        </row>
        <row r="48">
          <cell r="D48">
            <v>45978</v>
          </cell>
          <cell r="E48">
            <v>45979</v>
          </cell>
          <cell r="F48">
            <v>45980</v>
          </cell>
          <cell r="G48">
            <v>45981</v>
          </cell>
          <cell r="H48">
            <v>45982</v>
          </cell>
          <cell r="I48">
            <v>45983</v>
          </cell>
          <cell r="J48">
            <v>45984</v>
          </cell>
        </row>
        <row r="49">
          <cell r="D49">
            <v>45985</v>
          </cell>
          <cell r="E49">
            <v>45986</v>
          </cell>
          <cell r="F49">
            <v>45987</v>
          </cell>
          <cell r="G49">
            <v>45988</v>
          </cell>
          <cell r="H49">
            <v>45989</v>
          </cell>
          <cell r="I49">
            <v>45990</v>
          </cell>
          <cell r="J49">
            <v>45991</v>
          </cell>
        </row>
        <row r="50">
          <cell r="D50">
            <v>45992</v>
          </cell>
          <cell r="E50">
            <v>45993</v>
          </cell>
          <cell r="F50">
            <v>45994</v>
          </cell>
          <cell r="G50">
            <v>45995</v>
          </cell>
          <cell r="H50">
            <v>45996</v>
          </cell>
          <cell r="I50">
            <v>45997</v>
          </cell>
          <cell r="J50">
            <v>45998</v>
          </cell>
        </row>
        <row r="51">
          <cell r="D51">
            <v>45999</v>
          </cell>
          <cell r="E51">
            <v>46000</v>
          </cell>
          <cell r="F51">
            <v>46001</v>
          </cell>
          <cell r="G51">
            <v>46002</v>
          </cell>
          <cell r="H51">
            <v>46003</v>
          </cell>
          <cell r="I51">
            <v>46004</v>
          </cell>
          <cell r="J51">
            <v>46005</v>
          </cell>
        </row>
        <row r="52">
          <cell r="D52">
            <v>46006</v>
          </cell>
          <cell r="E52">
            <v>46007</v>
          </cell>
          <cell r="F52">
            <v>46008</v>
          </cell>
          <cell r="G52">
            <v>46009</v>
          </cell>
          <cell r="H52">
            <v>46010</v>
          </cell>
          <cell r="I52">
            <v>46011</v>
          </cell>
          <cell r="J52">
            <v>46012</v>
          </cell>
        </row>
        <row r="53">
          <cell r="D53">
            <v>46013</v>
          </cell>
          <cell r="E53">
            <v>46014</v>
          </cell>
          <cell r="F53">
            <v>46015</v>
          </cell>
          <cell r="G53">
            <v>46016</v>
          </cell>
          <cell r="H53">
            <v>46017</v>
          </cell>
          <cell r="I53">
            <v>46018</v>
          </cell>
          <cell r="J53">
            <v>46019</v>
          </cell>
        </row>
        <row r="54">
          <cell r="D54">
            <v>46020</v>
          </cell>
          <cell r="E54">
            <v>46021</v>
          </cell>
          <cell r="F54">
            <v>46022</v>
          </cell>
          <cell r="G54">
            <v>46023</v>
          </cell>
          <cell r="H54">
            <v>46024</v>
          </cell>
          <cell r="I54">
            <v>46025</v>
          </cell>
          <cell r="J54">
            <v>46026</v>
          </cell>
        </row>
      </sheetData>
      <sheetData sheetId="30" refreshError="1"/>
      <sheetData sheetId="31">
        <row r="2">
          <cell r="A2" t="str">
            <v>Torsdag</v>
          </cell>
        </row>
      </sheetData>
      <sheetData sheetId="32" refreshError="1"/>
      <sheetData sheetId="33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>
  <person displayName="Västerås Friidrottsklubb Kansliet" id="{38C3A224-CC16-43D2-88BF-52B59FED2B5B}" userId="S::kansliet@vasterasfriidrott.se::d27de295-19d0-4f78-80ef-8783c67690f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22C7F61-C7E4-4D4F-8808-872C56D899B3}" name="Tabell1" displayName="Tabell1" ref="A2:F3" totalsRowShown="0" headerRowDxfId="4260" dataDxfId="4259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A1E3A28-F0D1-476A-A3DC-A97E1F409EDA}" name="DAG" dataDxfId="2288">
      <calculatedColumnFormula>PROPER(TEXT(B3, "dddd"))</calculatedColumnFormula>
    </tableColumn>
    <tableColumn id="2" xr3:uid="{923F4F8A-F48A-4D80-985F-6BCAC7A4D94C}" name="DATUM" dataDxfId="2286">
      <calculatedColumnFormula>Måndag1</calculatedColumnFormula>
    </tableColumn>
    <tableColumn id="3" xr3:uid="{9261020C-1226-4682-936B-D3F0C79A642D}" name="Tid1" dataDxfId="2287"/>
    <tableColumn id="4" xr3:uid="{836BA89F-C589-458B-9606-2D19021C32F6}" name="TID" dataDxfId="4258"/>
    <tableColumn id="5" xr3:uid="{4ACA763C-C40F-4FB8-B846-9D8A0FFFC60F}" name="ANTAL" dataDxfId="4257"/>
    <tableColumn id="6" xr3:uid="{A8F5B22F-9357-4DFD-8135-8693EE9BD3F0}" name="GRUPP/LAG/SKOLA/ETC." dataDxfId="4256"/>
  </tableColumns>
  <tableStyleInfo name="Hallbokningsschema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1DAC2F2-EAD3-4F40-8BE0-D5DB725208FD}" name="Tabell2" displayName="Tabell2" ref="A4:F5" totalsRowShown="0" headerRowDxfId="4255" dataDxfId="4254">
  <autoFilter ref="A4:F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0621715-9DA1-44DE-AF5C-A190A8F743B6}" name="DAG" dataDxfId="2285">
      <calculatedColumnFormula>PROPER(TEXT(B5, "dddd"))</calculatedColumnFormula>
    </tableColumn>
    <tableColumn id="2" xr3:uid="{108B1279-2EC7-4E73-B3EA-FC6DB7495159}" name="DATUM" dataDxfId="2283">
      <calculatedColumnFormula>Tisdag1</calculatedColumnFormula>
    </tableColumn>
    <tableColumn id="3" xr3:uid="{3083E7B4-365F-4B10-A415-D78A2CF6EA82}" name="Tid1" dataDxfId="2284"/>
    <tableColumn id="4" xr3:uid="{AA5484C8-7C40-413E-80A2-8C8FB56E134E}" name="TID" dataDxfId="4253"/>
    <tableColumn id="5" xr3:uid="{AE3DA150-8E54-4BBD-93CD-BF4534C65CE5}" name="ANTAL" dataDxfId="4252"/>
    <tableColumn id="6" xr3:uid="{71F485AA-3275-4338-9DA9-D76ED26B4E12}" name="GRUPP/LAG/SKOLA/ETC." dataDxfId="4251"/>
  </tableColumns>
  <tableStyleInfo name="Hallbokningsschema 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C84C0AB-C1C3-4B50-8FC4-E37947BB810E}" name="Tabell3" displayName="Tabell3" ref="A6:F7" totalsRowShown="0" headerRowDxfId="4250" dataDxfId="4249">
  <autoFilter ref="A6:F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C44C775-252C-4DD9-8572-4F5A4D673532}" name="DAG" dataDxfId="2282">
      <calculatedColumnFormula>PROPER(TEXT(B7, "dddd"))</calculatedColumnFormula>
    </tableColumn>
    <tableColumn id="2" xr3:uid="{077FF6F1-87E7-4018-9CF3-C8A220532381}" name="DATUM" dataDxfId="2280">
      <calculatedColumnFormula>Onsdag1</calculatedColumnFormula>
    </tableColumn>
    <tableColumn id="3" xr3:uid="{E3013C8F-200C-42AD-9A11-91B029C63305}" name="Tid1" dataDxfId="2281"/>
    <tableColumn id="4" xr3:uid="{175CE322-EEB2-4B50-A043-8600B0A2595E}" name="TID" dataDxfId="4248"/>
    <tableColumn id="5" xr3:uid="{605B521F-3C4B-4C8B-A283-56C9FC39D637}" name="ANTAL" dataDxfId="4247"/>
    <tableColumn id="6" xr3:uid="{E5B6AD93-FAC4-4BA0-8056-596EA28DAF6E}" name="GRUPP/LAG/SKOLA/ETC." dataDxfId="4246"/>
  </tableColumns>
  <tableStyleInfo name="Hallbokningsschema 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27A0AF5-7454-4BFE-A7A2-09E28F0134B9}" name="Tabell4" displayName="Tabell4" ref="A8:F11" totalsRowShown="0" headerRowDxfId="4245" dataDxfId="4244">
  <autoFilter ref="A8:F11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103AD5A-9F18-49A9-B0A4-91642E3BAA31}" name="DAG" dataDxfId="2279">
      <calculatedColumnFormula>PROPER(TEXT(B9, "dddd"))</calculatedColumnFormula>
    </tableColumn>
    <tableColumn id="2" xr3:uid="{C7D35AC4-4A03-441B-89E2-2BC7AB3FF996}" name="DATUM" dataDxfId="2277">
      <calculatedColumnFormula>Torsdag1</calculatedColumnFormula>
    </tableColumn>
    <tableColumn id="3" xr3:uid="{79BDCA3A-BD68-448F-9412-2AD046B5B550}" name="Tid1" dataDxfId="2278"/>
    <tableColumn id="4" xr3:uid="{AE456968-B61A-487F-BC90-EA4E022ED9F7}" name="TID" dataDxfId="4243"/>
    <tableColumn id="5" xr3:uid="{FFFAE297-6888-46FC-85FB-B777CAC73EFE}" name="ANTAL" dataDxfId="4242"/>
    <tableColumn id="6" xr3:uid="{DEA01AF3-43C4-4982-9B20-F6D4B3B902A0}" name="GRUPP/LAG/SKOLA/ETC." dataDxfId="4241"/>
  </tableColumns>
  <tableStyleInfo name="Hallbokningsschema 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8C5FB07-8DC9-448D-9CF9-F7A3814496DA}" name="Tabell5" displayName="Tabell5" ref="A12:F15" totalsRowShown="0" headerRowDxfId="4240" dataDxfId="4239">
  <autoFilter ref="A12:F15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6807375-AB68-4617-B85B-43E7D0F93DB5}" name="DAG" dataDxfId="2276">
      <calculatedColumnFormula>PROPER(TEXT(B13, "dddd"))</calculatedColumnFormula>
    </tableColumn>
    <tableColumn id="2" xr3:uid="{68A6EC69-4254-4EB3-981A-A5A5D0C04077}" name="DATUM" dataDxfId="2274">
      <calculatedColumnFormula>Fredag1</calculatedColumnFormula>
    </tableColumn>
    <tableColumn id="3" xr3:uid="{0A713D75-FA7A-475F-B299-354EC7FAC08F}" name="Tid1" dataDxfId="2275"/>
    <tableColumn id="4" xr3:uid="{F76505C3-512B-4086-86D2-637AD227193C}" name="TID" dataDxfId="4238"/>
    <tableColumn id="5" xr3:uid="{B685CD03-32DE-4018-A0A6-5D6F826C493B}" name="ANTAL" dataDxfId="4237"/>
    <tableColumn id="6" xr3:uid="{51111F9C-BBFA-4347-873C-1D7BFC7EDE13}" name="GRUPP/LAG/SKOLA/ETC." dataDxfId="4236"/>
  </tableColumns>
  <tableStyleInfo name="Hallbokningsschema 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0DF334B-D113-4CFA-BFA4-4639D82A10AD}" name="Tabell6" displayName="Tabell6" ref="A16:F17" totalsRowShown="0" headerRowDxfId="4235" dataDxfId="4234">
  <autoFilter ref="A16:F17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2670D1F-E690-4FE2-A077-EBD94FD39B15}" name="DAG" dataDxfId="2273">
      <calculatedColumnFormula>PROPER(TEXT(B17, "dddd"))</calculatedColumnFormula>
    </tableColumn>
    <tableColumn id="2" xr3:uid="{F70FD703-78A6-4E53-9980-C25DD5F0E3D2}" name="DATUM" dataDxfId="2271">
      <calculatedColumnFormula>Lördag1</calculatedColumnFormula>
    </tableColumn>
    <tableColumn id="3" xr3:uid="{D96C61BE-9CA7-45AE-8B77-97ACBA67D3C3}" name="Tid1" dataDxfId="2272"/>
    <tableColumn id="4" xr3:uid="{E3B2FEB5-6553-4A9B-BAB2-8D3D71597FE8}" name="TID" dataDxfId="4233"/>
    <tableColumn id="5" xr3:uid="{B0DAC7CD-0831-4083-903E-826E93E26E5C}" name="ANTAL" dataDxfId="4232"/>
    <tableColumn id="6" xr3:uid="{4CE05631-6F84-46D8-A961-B40EB529CC7B}" name="GRUPP/LAG/SKOLA/ETC." dataDxfId="4231"/>
  </tableColumns>
  <tableStyleInfo name="Hallbokningsschema 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0CEE6DB-2666-41C1-948E-C16B806D022A}" name="Tabell7" displayName="Tabell7" ref="A18:F19" totalsRowShown="0" headerRowDxfId="4230" dataDxfId="4229">
  <autoFilter ref="A18:F19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0B43B7C-F78B-47A9-9935-9DEBC50DBCD6}" name="DAG" dataDxfId="2270">
      <calculatedColumnFormula>PROPER(TEXT(B19, "dddd"))</calculatedColumnFormula>
    </tableColumn>
    <tableColumn id="2" xr3:uid="{90A5F71A-C8A3-486B-919F-D095D27BE5CF}" name="DATUM" dataDxfId="2268">
      <calculatedColumnFormula>Söndag1</calculatedColumnFormula>
    </tableColumn>
    <tableColumn id="3" xr3:uid="{83BFF395-E811-4645-BED6-ADAA05B44255}" name="Tid1" dataDxfId="2269"/>
    <tableColumn id="4" xr3:uid="{49EF63CF-31FE-4CB9-BB1E-C7DCB59974EC}" name="TID" dataDxfId="4228"/>
    <tableColumn id="5" xr3:uid="{406C3432-067A-4FAB-9B29-2DE87E98B24A}" name="ANTAL" dataDxfId="4227"/>
    <tableColumn id="6" xr3:uid="{75888DDC-6D1B-4EB0-BDE4-5F55328FC2C5}" name="GRUPP/LAG/SKOLA/ETC." dataDxfId="4226"/>
  </tableColumns>
  <tableStyleInfo name="Hallbokningsschema 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81C9F5B-4EC6-4881-9267-8B0EBAEFCC0B}" name="Tabell8" displayName="Tabell8" ref="A2:F3" totalsRowShown="0" headerRowDxfId="4225" dataDxfId="4224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36BE40A-0848-426E-8935-D30425CB13AB}" name="DAG" dataDxfId="2267">
      <calculatedColumnFormula>PROPER(TEXT(B3, "dddd"))</calculatedColumnFormula>
    </tableColumn>
    <tableColumn id="2" xr3:uid="{58BE5544-831F-4E85-B9D8-F84A6927D886}" name="DATUM" dataDxfId="2265">
      <calculatedColumnFormula>Måndag2</calculatedColumnFormula>
    </tableColumn>
    <tableColumn id="3" xr3:uid="{3E838E2B-68E0-4F64-9402-8BE1586A3F96}" name="Tid1" dataDxfId="2266"/>
    <tableColumn id="4" xr3:uid="{0B6F0EC4-98B1-4CB0-8147-B59A940EBA34}" name="TID" dataDxfId="4223"/>
    <tableColumn id="5" xr3:uid="{0540D74F-3F11-4520-B98D-EF492706590F}" name="ANTAL" dataDxfId="4222"/>
    <tableColumn id="6" xr3:uid="{67785492-911E-48BB-8970-9BC49B0042A3}" name="GRUPP/LAG/SKOLA/ETC." dataDxfId="4221"/>
  </tableColumns>
  <tableStyleInfo name="Hallbokningsschema 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2F2B99C-48A5-4CBC-A1DE-88C24F18800D}" name="Tabell9" displayName="Tabell9" ref="A4:F10" totalsRowShown="0" headerRowDxfId="4220" dataDxfId="4219">
  <autoFilter ref="A4:F10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5737254-CD1C-41D9-9686-82844C7723F9}" name="DAG" dataDxfId="2264">
      <calculatedColumnFormula>PROPER(TEXT(B5, "dddd"))</calculatedColumnFormula>
    </tableColumn>
    <tableColumn id="2" xr3:uid="{54015602-E1B6-4FBB-B6BC-915DD86475EB}" name="DATUM" dataDxfId="2262">
      <calculatedColumnFormula>Tisdag2</calculatedColumnFormula>
    </tableColumn>
    <tableColumn id="3" xr3:uid="{9F5A3D88-612E-4ACF-AC22-BF1C46563651}" name="Tid1" dataDxfId="2263"/>
    <tableColumn id="4" xr3:uid="{9BA4D836-2F92-4172-8F96-89A26517B697}" name="TID" dataDxfId="4218"/>
    <tableColumn id="5" xr3:uid="{272731E7-4719-4E6B-9951-9D430030050A}" name="ANTAL" dataDxfId="4217"/>
    <tableColumn id="6" xr3:uid="{567DB428-95A6-4909-A8B5-0E0B95A3A5C9}" name="GRUPP/LAG/SKOLA/ETC." dataDxfId="4216"/>
  </tableColumns>
  <tableStyleInfo name="Hallbokningsschema 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305D309-04AF-4669-8FBF-65398382C3F1}" name="Tabell10" displayName="Tabell10" ref="A11:F17" totalsRowShown="0" headerRowDxfId="4215" dataDxfId="4214">
  <autoFilter ref="A11:F1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75EDF80-BAD1-45E1-8D6D-51139078E51C}" name="DAG" dataDxfId="2261">
      <calculatedColumnFormula>PROPER(TEXT(B12, "dddd"))</calculatedColumnFormula>
    </tableColumn>
    <tableColumn id="2" xr3:uid="{5C776F6C-AEF5-4B36-B094-CB083FD0C8B6}" name="DATUM" dataDxfId="2259">
      <calculatedColumnFormula>Onsdag2</calculatedColumnFormula>
    </tableColumn>
    <tableColumn id="3" xr3:uid="{AB374BF3-D320-4A86-8358-72D71AA5A972}" name="Tid1" dataDxfId="2260"/>
    <tableColumn id="4" xr3:uid="{CB1FCF2C-48F2-446F-80A4-19F03072EF8F}" name="TID" dataDxfId="4213"/>
    <tableColumn id="5" xr3:uid="{9D273C79-D24E-400B-AF97-9BA807CEDE67}" name="ANTAL" dataDxfId="4212"/>
    <tableColumn id="6" xr3:uid="{29638F6A-05C5-4823-BC87-B5AD8E1CDC40}" name="GRUPP/LAG/SKOLA/ETC." dataDxfId="4211"/>
  </tableColumns>
  <tableStyleInfo name="Hallbokningsschema 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92DE46C-D9F0-42F1-978A-A1105CD7E8D3}" name="Tabell11" displayName="Tabell11" ref="A18:F23" totalsRowShown="0" headerRowDxfId="4210" dataDxfId="4209">
  <autoFilter ref="A18:F23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AB552B4-7517-41E1-9456-214C40872DBE}" name="DAG" dataDxfId="2258">
      <calculatedColumnFormula>PROPER(TEXT(B19, "dddd"))</calculatedColumnFormula>
    </tableColumn>
    <tableColumn id="2" xr3:uid="{DA9179A5-6BFA-444A-9013-D3AECE9D8AD7}" name="DATUM" dataDxfId="2256">
      <calculatedColumnFormula>Torsdag2</calculatedColumnFormula>
    </tableColumn>
    <tableColumn id="3" xr3:uid="{76AB08F7-DFCE-4BC8-BEC5-E6F3135A8B6B}" name="Tid1" dataDxfId="2257"/>
    <tableColumn id="4" xr3:uid="{C5EAB920-0168-4F34-A90F-D0F36175D7E1}" name="TID" dataDxfId="4208"/>
    <tableColumn id="5" xr3:uid="{DB06BA20-9272-4472-BCC8-D526EEC150A8}" name="ANTAL" dataDxfId="4207"/>
    <tableColumn id="6" xr3:uid="{9F8799B5-BE82-4A56-9A1C-32B36C350D28}" name="GRUPP/LAG/SKOLA/ETC." dataDxfId="4206"/>
  </tableColumns>
  <tableStyleInfo name="Hallbokningsschema 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42650B3-04FD-4947-9CBB-0F98C5B372D6}" name="Tabell12" displayName="Tabell12" ref="A24:F29" totalsRowShown="0" headerRowDxfId="4205" dataDxfId="4204">
  <autoFilter ref="A24:F29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F7B42DB-F702-4448-9EAB-03677AFCFE9D}" name="DAG" dataDxfId="2255">
      <calculatedColumnFormula>PROPER(TEXT(B25, "dddd"))</calculatedColumnFormula>
    </tableColumn>
    <tableColumn id="2" xr3:uid="{0A31A8F1-1BAD-46A0-95EC-2DA267443689}" name="DATUM" dataDxfId="2253">
      <calculatedColumnFormula>Fredag2</calculatedColumnFormula>
    </tableColumn>
    <tableColumn id="3" xr3:uid="{50CE8B1D-583D-45E8-B31D-8A213C7230AD}" name="Tid1" dataDxfId="2254"/>
    <tableColumn id="4" xr3:uid="{48DDFE3B-1F4F-4815-84F8-E98DB728D1E9}" name="TID" dataDxfId="4203"/>
    <tableColumn id="5" xr3:uid="{B9DDB168-D116-4A15-92C3-4195692E3038}" name="ANTAL" dataDxfId="4202"/>
    <tableColumn id="6" xr3:uid="{E1EED33C-1C13-43C4-A5EE-249001049A8D}" name="GRUPP/LAG/SKOLA/ETC." dataDxfId="4201"/>
  </tableColumns>
  <tableStyleInfo name="Hallbokningsschema 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433FC43-233B-4450-B633-2AC8DC5F4936}" name="Tabell13" displayName="Tabell13" ref="A30:F33" totalsRowShown="0" headerRowDxfId="4200" dataDxfId="4199">
  <autoFilter ref="A30:F3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20B98CA-813A-4133-A3FF-F0C151791D1D}" name="DAG" dataDxfId="2252">
      <calculatedColumnFormula>PROPER(TEXT(B31, "dddd"))</calculatedColumnFormula>
    </tableColumn>
    <tableColumn id="2" xr3:uid="{ADC69B3E-292E-4F5D-8987-5738E2E05700}" name="DATUM" dataDxfId="2250">
      <calculatedColumnFormula>Lördag2</calculatedColumnFormula>
    </tableColumn>
    <tableColumn id="3" xr3:uid="{70EC7174-7A00-444B-A692-A5F9F2728376}" name="Tid1" dataDxfId="2251"/>
    <tableColumn id="4" xr3:uid="{7EEC107E-C63C-44DF-9D0D-9D845941E938}" name="TID" dataDxfId="4198"/>
    <tableColumn id="5" xr3:uid="{DD0718ED-873C-4320-BF69-BEDCBE06DE3B}" name="ANTAL" dataDxfId="4197"/>
    <tableColumn id="6" xr3:uid="{AD7F204D-13C8-4B99-9E65-EAB25EC10ADE}" name="GRUPP/LAG/SKOLA/ETC." dataDxfId="4196"/>
  </tableColumns>
  <tableStyleInfo name="Hallbokningsschema 2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DB1423-E755-4EFC-B3A3-8588D1B8E064}" name="Tabell14" displayName="Tabell14" ref="A34:F37" totalsRowShown="0" headerRowDxfId="4195" dataDxfId="4194">
  <autoFilter ref="A34:F37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5:F37">
    <sortCondition ref="C35:C37"/>
  </sortState>
  <tableColumns count="6">
    <tableColumn id="1" xr3:uid="{DE5685B5-A301-4335-9F03-576C77C2A22A}" name="DAG" dataDxfId="2249">
      <calculatedColumnFormula>PROPER(TEXT(B35, "dddd"))</calculatedColumnFormula>
    </tableColumn>
    <tableColumn id="2" xr3:uid="{E2DF15C7-2A39-4A98-96B3-5CE521A915FB}" name="DATUM" dataDxfId="2247">
      <calculatedColumnFormula>Söndag2</calculatedColumnFormula>
    </tableColumn>
    <tableColumn id="3" xr3:uid="{EE5AFCF7-974A-4D82-BD75-D22B60C41E51}" name="Tid1" dataDxfId="2248"/>
    <tableColumn id="4" xr3:uid="{656FC05C-A2A8-48E4-B277-89B545051FCB}" name="TID" dataDxfId="4193"/>
    <tableColumn id="5" xr3:uid="{6AEDE4C9-4D49-4D45-BF94-B415A5ED172D}" name="ANTAL" dataDxfId="4192"/>
    <tableColumn id="6" xr3:uid="{3A469D05-4FED-4851-876E-6B671A3722BB}" name="GRUPP/LAG/SKOLA/ETC." dataDxfId="4191"/>
  </tableColumns>
  <tableStyleInfo name="Hallbokningsschema 2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F94308E-13E8-4BE9-BDA7-DBC29595983E}" name="Tabell15" displayName="Tabell15" ref="A2:F6" totalsRowShown="0" headerRowDxfId="4190" dataDxfId="4189">
  <autoFilter ref="A2:F6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30ECE88-6202-43BA-8906-2EA34BB71466}" name="DAG" dataDxfId="2246">
      <calculatedColumnFormula>PROPER(TEXT(B3, "dddd"))</calculatedColumnFormula>
    </tableColumn>
    <tableColumn id="2" xr3:uid="{B0A66117-80CA-49CE-8208-E8DA221A38B1}" name="DATUM" dataDxfId="2244">
      <calculatedColumnFormula>Måndag3</calculatedColumnFormula>
    </tableColumn>
    <tableColumn id="3" xr3:uid="{EFD785C2-C561-4D4B-84A4-F0BE4FE988FE}" name="Tid1" dataDxfId="2245"/>
    <tableColumn id="4" xr3:uid="{48E056BD-7897-4254-B2C4-E712547E493D}" name="TID" dataDxfId="4188"/>
    <tableColumn id="5" xr3:uid="{7E2A9599-5C03-4EC2-8DC6-AB25369FE7A8}" name="ANTAL" dataDxfId="4187"/>
    <tableColumn id="6" xr3:uid="{FD5B6D89-E51A-4935-AB52-43B18224C3F7}" name="GRUPP/LAG/SKOLA/ETC." dataDxfId="4186"/>
  </tableColumns>
  <tableStyleInfo name="Hallbokningsschema 2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1D871C3-C82E-4ADC-8079-A6FA8C3912E6}" name="Tabell16" displayName="Tabell16" ref="A7:F12" totalsRowShown="0" headerRowDxfId="4185" dataDxfId="4184">
  <autoFilter ref="A7:F12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299343E-2D4E-4706-AE1F-3690307B3D60}" name="DAG" dataDxfId="2243">
      <calculatedColumnFormula>PROPER(TEXT(B8, "dddd"))</calculatedColumnFormula>
    </tableColumn>
    <tableColumn id="2" xr3:uid="{D054DD8B-BAE9-4F8E-B5D0-150492021359}" name="DATUM" dataDxfId="2241">
      <calculatedColumnFormula>Tisdag3</calculatedColumnFormula>
    </tableColumn>
    <tableColumn id="3" xr3:uid="{35200C34-BBD0-4C9D-B2B4-2145D7F531E6}" name="Tid1" dataDxfId="2242"/>
    <tableColumn id="4" xr3:uid="{1C907740-26DB-4B2D-93F5-75CD20B43967}" name="TID" dataDxfId="4183"/>
    <tableColumn id="5" xr3:uid="{49D021EF-48B5-4BF6-BA32-4AF04E101A69}" name="ANTAL" dataDxfId="4182"/>
    <tableColumn id="6" xr3:uid="{E6AA9FA2-DB5B-4C19-8389-4BECC8ACAB24}" name="GRUPP/LAG/SKOLA/ETC." dataDxfId="4181"/>
  </tableColumns>
  <tableStyleInfo name="Hallbokningsschema 2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1B8C04F-50F0-4B34-8C8D-A3C9E30958C4}" name="Tabell17" displayName="Tabell17" ref="A13:F21" totalsRowShown="0" headerRowDxfId="4180" dataDxfId="4179">
  <autoFilter ref="A13:F21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B7F3D77-7BD3-4D15-985C-F48B6BB0D3DB}" name="DAG" dataDxfId="2240">
      <calculatedColumnFormula>PROPER(TEXT(B14, "dddd"))</calculatedColumnFormula>
    </tableColumn>
    <tableColumn id="2" xr3:uid="{C595D09B-3992-44CE-B192-9473F5AC103B}" name="DATUM" dataDxfId="2238">
      <calculatedColumnFormula>Onsdag3</calculatedColumnFormula>
    </tableColumn>
    <tableColumn id="3" xr3:uid="{BE8C96B3-6A73-4F50-B1DC-1461E1E5803D}" name="Tid1" dataDxfId="2239"/>
    <tableColumn id="4" xr3:uid="{86808F1E-EB49-4B42-B92C-080657C41345}" name="TID" dataDxfId="4178"/>
    <tableColumn id="5" xr3:uid="{D6889228-32E2-4976-B622-88954E3395A8}" name="ANTAL" dataDxfId="4177"/>
    <tableColumn id="6" xr3:uid="{6539820E-7384-4985-A1B7-F199BC5BA857}" name="GRUPP/LAG/SKOLA/ETC." dataDxfId="4176"/>
  </tableColumns>
  <tableStyleInfo name="Hallbokningsschema 2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B39C849-3EAD-4021-B222-D07942266620}" name="Tabell18" displayName="Tabell18" ref="A22:F28" totalsRowShown="0" headerRowDxfId="4175" dataDxfId="4174">
  <autoFilter ref="A22:F28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BF0C215-C82D-4731-B46A-C6944263B549}" name="DAG" dataDxfId="2237">
      <calculatedColumnFormula>PROPER(TEXT(B23, "dddd"))</calculatedColumnFormula>
    </tableColumn>
    <tableColumn id="2" xr3:uid="{7F2EE76B-A6A6-45F9-811B-E42B8D91F2A9}" name="DATUM" dataDxfId="2235">
      <calculatedColumnFormula>Torsdag3</calculatedColumnFormula>
    </tableColumn>
    <tableColumn id="3" xr3:uid="{BA72A671-565F-48CE-965B-9F9A2BAE53ED}" name="Tid1" dataDxfId="2236"/>
    <tableColumn id="4" xr3:uid="{C6C1F459-8942-4191-9E45-D59B46FB54EA}" name="TID" dataDxfId="4173"/>
    <tableColumn id="5" xr3:uid="{1A6140B2-5107-41D5-97BF-CC061A7EA74C}" name="ANTAL" dataDxfId="4172"/>
    <tableColumn id="6" xr3:uid="{01F3DA02-5E0B-4991-A145-4DD8F9D36E83}" name="GRUPP/LAG/SKOLA/ETC." dataDxfId="4171"/>
  </tableColumns>
  <tableStyleInfo name="Hallbokningsschema 2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F305703-46E8-47A4-BC46-00D1713AC709}" name="Tabell19" displayName="Tabell19" ref="A29:F35" totalsRowShown="0" headerRowDxfId="4170" dataDxfId="4169">
  <autoFilter ref="A29:F35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585F4CC-E7A8-45EA-A04F-D474E5780EEB}" name="DAG" dataDxfId="2234">
      <calculatedColumnFormula>PROPER(TEXT(B30, "dddd"))</calculatedColumnFormula>
    </tableColumn>
    <tableColumn id="2" xr3:uid="{EC99D3C6-D98A-46F1-9F70-56558A69521A}" name="DATUM" dataDxfId="2232">
      <calculatedColumnFormula>Fredag3</calculatedColumnFormula>
    </tableColumn>
    <tableColumn id="3" xr3:uid="{D47B9876-0909-428C-B8AD-A9CD350D8603}" name="Tid1" dataDxfId="2233"/>
    <tableColumn id="4" xr3:uid="{23A35251-B3BA-43DB-A50E-160D5D8F5313}" name="TID" dataDxfId="4168"/>
    <tableColumn id="5" xr3:uid="{952BBE6E-DDCE-4644-9B99-B51E1626B7F2}" name="ANTAL" dataDxfId="4167"/>
    <tableColumn id="6" xr3:uid="{E4F415F7-8CE4-4F00-9F50-9D07A028BB6A}" name="GRUPP/LAG/SKOLA/ETC." dataDxfId="4166"/>
  </tableColumns>
  <tableStyleInfo name="Hallbokningsschema 2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5A88CF5-A140-44CC-A120-EE5BCB36FCAD}" name="Tabell20" displayName="Tabell20" ref="A36:F37" totalsRowShown="0" headerRowDxfId="4165" dataDxfId="4164">
  <autoFilter ref="A36:F37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7:F37">
    <sortCondition ref="C37"/>
  </sortState>
  <tableColumns count="6">
    <tableColumn id="1" xr3:uid="{F9E2D02A-3C4A-4F33-9575-60AF745E926D}" name="DAG" dataDxfId="2231">
      <calculatedColumnFormula>PROPER(TEXT(B37, "dddd"))</calculatedColumnFormula>
    </tableColumn>
    <tableColumn id="2" xr3:uid="{75D6E67A-FC4F-4910-9013-F4C23B55D221}" name="DATUM" dataDxfId="2229">
      <calculatedColumnFormula>Lördag3</calculatedColumnFormula>
    </tableColumn>
    <tableColumn id="3" xr3:uid="{E3D9ED20-18BD-4AB6-92E6-6F9502060878}" name="Tid1" dataDxfId="2230"/>
    <tableColumn id="4" xr3:uid="{2A0E2E2D-E008-4497-AECE-1C9E63CEA9E0}" name="TID" dataDxfId="4163"/>
    <tableColumn id="5" xr3:uid="{73016E11-EF16-4921-ADEB-24888253700A}" name="ANTAL" dataDxfId="4162"/>
    <tableColumn id="6" xr3:uid="{1D37B48A-E642-4E70-8CE2-306074E5E90D}" name="GRUPP/LAG/SKOLA/ETC." dataDxfId="4161"/>
  </tableColumns>
  <tableStyleInfo name="Hallbokningsschema 2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64335AD-D34B-469D-8040-B3400421946B}" name="Tabell21" displayName="Tabell21" ref="A38:F39" totalsRowShown="0" headerRowDxfId="4160" dataDxfId="4159">
  <autoFilter ref="A38:F39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9:F39">
    <sortCondition ref="C39"/>
  </sortState>
  <tableColumns count="6">
    <tableColumn id="1" xr3:uid="{A55EC26D-B840-4DDE-BF59-47F6EC340258}" name="DAG" dataDxfId="2228">
      <calculatedColumnFormula>PROPER(TEXT(B39, "dddd"))</calculatedColumnFormula>
    </tableColumn>
    <tableColumn id="2" xr3:uid="{965ECD3F-07D8-4E21-82D3-57487E903881}" name="DATUM" dataDxfId="2226">
      <calculatedColumnFormula>Söndag3</calculatedColumnFormula>
    </tableColumn>
    <tableColumn id="3" xr3:uid="{175516A1-B3E4-4683-84FD-FFB4F60B8E10}" name="Tid1" dataDxfId="2227"/>
    <tableColumn id="4" xr3:uid="{9441F73B-2710-4F1E-B8F0-954C3108C714}" name="TID" dataDxfId="4158"/>
    <tableColumn id="5" xr3:uid="{1A67B4E4-78BD-444A-B9D6-745D4265EC64}" name="ANTAL" dataDxfId="4157"/>
    <tableColumn id="6" xr3:uid="{5B137909-C454-4BEC-9548-85CEF107937E}" name="GRUPP/LAG/SKOLA/ETC." dataDxfId="4156"/>
  </tableColumns>
  <tableStyleInfo name="Hallbokningsschema 2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44F5457-3985-4060-803E-74BD664EA96F}" name="Tabell127" displayName="Tabell127" ref="A2:F6" totalsRowShown="0" headerRowDxfId="4155" dataDxfId="4154">
  <autoFilter ref="A2:F6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6">
    <sortCondition ref="C3:C6"/>
  </sortState>
  <tableColumns count="6">
    <tableColumn id="1" xr3:uid="{E2D8A9D0-FD6B-4146-A549-C01F9845036A}" name="DAG" dataDxfId="2225">
      <calculatedColumnFormula>PROPER(TEXT(B3, "dddd"))</calculatedColumnFormula>
    </tableColumn>
    <tableColumn id="2" xr3:uid="{60C7DD63-67FD-4269-8BD6-8DA18905849B}" name="DATUM" dataDxfId="2223">
      <calculatedColumnFormula>Måndag4</calculatedColumnFormula>
    </tableColumn>
    <tableColumn id="3" xr3:uid="{B3F7B28C-2F54-446C-9A73-CCC661ECDCAD}" name="Tid1" dataDxfId="2224"/>
    <tableColumn id="4" xr3:uid="{71486459-0195-4940-8BEB-D0A6E53C9910}" name="TID" dataDxfId="4153"/>
    <tableColumn id="5" xr3:uid="{504927BF-9F09-4AD3-B846-42ACC1015BF6}" name="ANTAL" dataDxfId="4152"/>
    <tableColumn id="6" xr3:uid="{A9472011-FD03-40BB-B4DA-3F52806505E0}" name="GRUPP/LAG/SKOLA/ETC." dataDxfId="4151"/>
  </tableColumns>
  <tableStyleInfo name="Hallbokningsschema 2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8CC0B3A-CD7C-46DF-B6C3-94DE23AF6E16}" name="Tabell228" displayName="Tabell228" ref="A7:F13" totalsRowShown="0" headerRowDxfId="4150" dataDxfId="4149">
  <autoFilter ref="A7:F13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8:F13">
    <sortCondition ref="C8:C13"/>
  </sortState>
  <tableColumns count="6">
    <tableColumn id="1" xr3:uid="{C303A510-4F19-40E3-932C-D31E6449D290}" name="DAG" dataDxfId="2222">
      <calculatedColumnFormula>PROPER(TEXT(B8, "dddd"))</calculatedColumnFormula>
    </tableColumn>
    <tableColumn id="2" xr3:uid="{FACE09B8-5EE4-4F32-8E1A-279F6DFF57E4}" name="DATUM" dataDxfId="2220">
      <calculatedColumnFormula>Tisdag4</calculatedColumnFormula>
    </tableColumn>
    <tableColumn id="3" xr3:uid="{1D6D6908-52D8-4AA3-927E-AA0D458979FC}" name="Tid1" dataDxfId="2221"/>
    <tableColumn id="4" xr3:uid="{A7AB1353-3053-4F74-B705-F0259E8FA4E6}" name="TID" dataDxfId="4148"/>
    <tableColumn id="5" xr3:uid="{B43AEA61-FBFC-4400-A6B4-6AA7471D8762}" name="ANTAL" dataDxfId="4147"/>
    <tableColumn id="6" xr3:uid="{B09A03F2-9090-4AAB-B92D-44B73FAC5D51}" name="GRUPP/LAG/SKOLA/ETC." dataDxfId="4146"/>
  </tableColumns>
  <tableStyleInfo name="Hallbokningsschema 2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D9940F5-4831-481C-B650-0ED346CCFDC1}" name="Tabell329" displayName="Tabell329" ref="A14:F22" totalsRowShown="0" headerRowDxfId="4145" dataDxfId="4144">
  <autoFilter ref="A14:F22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17CD781-AC80-4C53-B7DA-208CA9434118}" name="DAG" dataDxfId="2219">
      <calculatedColumnFormula>PROPER(TEXT(B15, "dddd"))</calculatedColumnFormula>
    </tableColumn>
    <tableColumn id="2" xr3:uid="{FAB3F970-6CA6-4E34-891C-6E6ECAF4BB20}" name="DATUM" dataDxfId="2217">
      <calculatedColumnFormula>Onsdag4</calculatedColumnFormula>
    </tableColumn>
    <tableColumn id="3" xr3:uid="{EC117DD9-8275-40BB-B67D-3B7E9373F4D9}" name="Tid1" dataDxfId="2218"/>
    <tableColumn id="4" xr3:uid="{6522F6DF-E8E9-4F91-A920-180B93B00A16}" name="TID" dataDxfId="4143"/>
    <tableColumn id="5" xr3:uid="{511177E9-7758-495F-A81E-6ED99673A53D}" name="ANTAL" dataDxfId="4142"/>
    <tableColumn id="6" xr3:uid="{A19847B5-E20D-4EEE-835D-288CBA0B0648}" name="GRUPP/LAG/SKOLA/ETC." dataDxfId="4141"/>
  </tableColumns>
  <tableStyleInfo name="Hallbokningsschema 2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60E5BD-4DAB-4854-AEB7-E52C96D3779F}" name="Tabell430" displayName="Tabell430" ref="A23:F31" totalsRowShown="0" headerRowDxfId="4140" dataDxfId="4139">
  <autoFilter ref="A23:F31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95BFC8A-4AD5-4AA7-B664-06E4647495B7}" name="DAG" dataDxfId="2216">
      <calculatedColumnFormula>PROPER(TEXT(B24, "dddd"))</calculatedColumnFormula>
    </tableColumn>
    <tableColumn id="2" xr3:uid="{4D09BC2B-E70E-4D6C-8EF8-8F4B59698975}" name="DATUM" dataDxfId="2214">
      <calculatedColumnFormula>Torsdag4</calculatedColumnFormula>
    </tableColumn>
    <tableColumn id="3" xr3:uid="{79AF4E16-5CB4-41D7-8196-51A54F7D3EA1}" name="Tid1" dataDxfId="2215"/>
    <tableColumn id="4" xr3:uid="{3E0B04C3-498D-4596-9D28-BD9E10A10499}" name="TID" dataDxfId="4138"/>
    <tableColumn id="5" xr3:uid="{5E9CD4E2-F8D0-4B15-8F16-EF9FC2C5AC7A}" name="ANTAL" dataDxfId="4137"/>
    <tableColumn id="6" xr3:uid="{142F7D82-E86F-4601-9EBE-301B5C8A73E5}" name="GRUPP/LAG/SKOLA/ETC." dataDxfId="4136"/>
  </tableColumns>
  <tableStyleInfo name="Hallbokningsschema 2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1B7E39A-F138-44C2-8CFB-CEC4CEEBBB62}" name="Tabell531" displayName="Tabell531" ref="A32:F37" totalsRowShown="0" headerRowDxfId="4135" dataDxfId="4134">
  <autoFilter ref="A32:F37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2BF5DF0-A8A2-4C31-B1CF-7CA7E1BADCE4}" name="DAG" dataDxfId="2213">
      <calculatedColumnFormula>PROPER(TEXT(B33, "dddd"))</calculatedColumnFormula>
    </tableColumn>
    <tableColumn id="2" xr3:uid="{6216AE21-D71A-4912-BE12-CF7D3D493851}" name="DATUM" dataDxfId="2211">
      <calculatedColumnFormula>Fredag4</calculatedColumnFormula>
    </tableColumn>
    <tableColumn id="3" xr3:uid="{54A17D8F-77FB-4159-ABE3-1435B7BDD9D2}" name="Tid1" dataDxfId="2212"/>
    <tableColumn id="4" xr3:uid="{153A9DA4-6F1B-4E91-A0F1-9F10763D10DD}" name="TID" dataDxfId="4133"/>
    <tableColumn id="5" xr3:uid="{C736E9B1-545D-4EB3-B081-526E402BDC61}" name="ANTAL" dataDxfId="4132"/>
    <tableColumn id="6" xr3:uid="{3814975E-5B95-4EC0-8717-688E5EE24499}" name="GRUPP/LAG/SKOLA/ETC." dataDxfId="4131"/>
  </tableColumns>
  <tableStyleInfo name="Hallbokningsschema 2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6DC07B0-FE30-4064-8B37-6C2ABA67C13F}" name="Tabell632" displayName="Tabell632" ref="A38:F39" totalsRowShown="0" headerRowDxfId="4130" dataDxfId="4129">
  <autoFilter ref="A38:F39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E19BFA3-263D-46F5-A663-B0B531021E9A}" name="DAG" dataDxfId="2210">
      <calculatedColumnFormula>PROPER(TEXT(B39, "dddd"))</calculatedColumnFormula>
    </tableColumn>
    <tableColumn id="2" xr3:uid="{FBB714BC-B352-456C-9D09-BC80BCD991D2}" name="DATUM" dataDxfId="2208">
      <calculatedColumnFormula>Lördag4</calculatedColumnFormula>
    </tableColumn>
    <tableColumn id="3" xr3:uid="{950341E4-28A1-4CB0-B6EE-F52837A203C2}" name="Tid1" dataDxfId="2209"/>
    <tableColumn id="4" xr3:uid="{7F2ABCC0-144B-4D3C-8868-4C5743C14290}" name="TID" dataDxfId="4128"/>
    <tableColumn id="5" xr3:uid="{7007F414-8974-46A4-B58B-6FEB4B921390}" name="ANTAL" dataDxfId="4127"/>
    <tableColumn id="6" xr3:uid="{67040F59-63DB-482D-B1B5-9E846976C8A6}" name="GRUPP/LAG/SKOLA/ETC." dataDxfId="4126"/>
  </tableColumns>
  <tableStyleInfo name="Hallbokningsschema 2" showFirstColumn="0" showLastColumn="0" showRowStripes="0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234D634-CF8B-4B9A-AB1C-723F00330AF3}" name="Tabell733" displayName="Tabell733" ref="A40:F42" totalsRowShown="0" headerRowDxfId="4125" dataDxfId="4124">
  <autoFilter ref="A40:F42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C69024D-11B0-4319-8ACB-D9705D264477}" name="DAG" dataDxfId="2207">
      <calculatedColumnFormula>PROPER(TEXT(B41, "dddd"))</calculatedColumnFormula>
    </tableColumn>
    <tableColumn id="2" xr3:uid="{5DB1E74F-F6B0-4BEC-909C-2C2929443A23}" name="DATUM" dataDxfId="2205">
      <calculatedColumnFormula>Söndag4</calculatedColumnFormula>
    </tableColumn>
    <tableColumn id="3" xr3:uid="{B6F5FF0D-9A83-4998-A92A-82066CE7F16A}" name="Tid1" dataDxfId="2206"/>
    <tableColumn id="4" xr3:uid="{19741D4A-C78D-4E43-829F-8D3AF86870D2}" name="TID" dataDxfId="4123"/>
    <tableColumn id="5" xr3:uid="{C908CA5C-0ECD-4984-B223-75E4BF0115A6}" name="ANTAL" dataDxfId="4122"/>
    <tableColumn id="6" xr3:uid="{D2215CAF-F4F1-4D24-9EE7-9647DD912B4C}" name="GRUPP/LAG/SKOLA/ETC." dataDxfId="4121"/>
  </tableColumns>
  <tableStyleInfo name="Hallbokningsschema 2" showFirstColumn="0" showLastColumn="0" showRowStripes="0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68176A6F-66BA-4E21-88C8-AAF13EE4B0DF}" name="Tabell1273476839097104111118125132" displayName="Tabell1273476839097104111118125132" ref="A2:F7" totalsRowShown="0" headerRowDxfId="4120" dataDxfId="4119">
  <autoFilter ref="A2:F7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7">
    <sortCondition ref="C3:C7"/>
  </sortState>
  <tableColumns count="6">
    <tableColumn id="1" xr3:uid="{0458C082-547C-4CCC-BC19-7516A2C9C94F}" name="DAG" dataDxfId="2204">
      <calculatedColumnFormula>PROPER(TEXT(B3, "dddd"))</calculatedColumnFormula>
    </tableColumn>
    <tableColumn id="2" xr3:uid="{22A01740-2C52-4902-B091-B82262B6D9A5}" name="DATUM" dataDxfId="2202">
      <calculatedColumnFormula>Måndag5</calculatedColumnFormula>
    </tableColumn>
    <tableColumn id="3" xr3:uid="{E8147BE0-BB57-4599-A3D5-DD3F6675C004}" name="Tid1" dataDxfId="2203"/>
    <tableColumn id="4" xr3:uid="{F05B9B56-DC5A-455E-8A1F-60C87E150B88}" name="TID" dataDxfId="4118"/>
    <tableColumn id="5" xr3:uid="{B6B94F2F-0FCC-405A-ACCC-D4B48DB6219E}" name="ANTAL" dataDxfId="4117"/>
    <tableColumn id="6" xr3:uid="{F2657CB7-CE41-4EB0-830F-0DF95DF76A89}" name="GRUPP/LAG/SKOLA/ETC." dataDxfId="4116"/>
  </tableColumns>
  <tableStyleInfo name="Hallbokningsschema 2" showFirstColumn="0" showLastColumn="0" showRowStripes="0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EA06C095-DBDE-49BA-884F-220940A2D2A6}" name="Tabell2283577849198105112119126133" displayName="Tabell2283577849198105112119126133" ref="A8:F15" totalsRowShown="0" headerRowDxfId="4115" dataDxfId="4114">
  <autoFilter ref="A8:F1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9:F15">
    <sortCondition ref="C9:C15"/>
  </sortState>
  <tableColumns count="6">
    <tableColumn id="1" xr3:uid="{0FDC4A66-EEF3-4650-B649-CA15C509161D}" name="DAG" dataDxfId="2201">
      <calculatedColumnFormula>PROPER(TEXT(B9, "dddd"))</calculatedColumnFormula>
    </tableColumn>
    <tableColumn id="2" xr3:uid="{FFE45098-F380-45B7-9A02-3FA1DE37C5C0}" name="DATUM" dataDxfId="2199">
      <calculatedColumnFormula>Tisdag5</calculatedColumnFormula>
    </tableColumn>
    <tableColumn id="3" xr3:uid="{BA638B96-8BF7-4095-A230-E8F7D2DB8216}" name="Tid1" dataDxfId="2200"/>
    <tableColumn id="4" xr3:uid="{D657CAC4-9610-4A79-ACE0-B40BE2E86BEA}" name="TID" dataDxfId="4113"/>
    <tableColumn id="5" xr3:uid="{0A510A1A-2E50-4D48-9809-C80728DFC595}" name="ANTAL" dataDxfId="4112"/>
    <tableColumn id="6" xr3:uid="{083842A0-9BA7-4148-8681-211950D5EFAB}" name="GRUPP/LAG/SKOLA/ETC." dataDxfId="4111"/>
  </tableColumns>
  <tableStyleInfo name="Hallbokningsschema 2" showFirstColumn="0" showLastColumn="0" showRowStripes="0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6E5CDBFD-11E1-4938-B7A0-09B533AC4CD2}" name="Tabell3293678859299106113120127134" displayName="Tabell3293678859299106113120127134" ref="A16:F25" totalsRowShown="0" headerRowDxfId="4110" dataDxfId="4109">
  <autoFilter ref="A16:F25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7:F25">
    <sortCondition ref="C17:C25"/>
  </sortState>
  <tableColumns count="6">
    <tableColumn id="1" xr3:uid="{CF9D409B-5256-4DDF-A0A6-D7B158BE580F}" name="DAG" dataDxfId="2198">
      <calculatedColumnFormula>PROPER(TEXT(B17, "dddd"))</calculatedColumnFormula>
    </tableColumn>
    <tableColumn id="2" xr3:uid="{37BF6BF9-FB3C-45A9-9037-CAB1C123C099}" name="DATUM" dataDxfId="2196">
      <calculatedColumnFormula>Onsdag5</calculatedColumnFormula>
    </tableColumn>
    <tableColumn id="3" xr3:uid="{35922F87-DE6E-40BE-9841-E1674483AADD}" name="Tid1" dataDxfId="2197"/>
    <tableColumn id="4" xr3:uid="{75D37EB8-B82A-4A5F-8B6B-2F023A13354E}" name="TID" dataDxfId="4108"/>
    <tableColumn id="5" xr3:uid="{3006B8B1-AAB1-4628-9A25-90ABA0ACD904}" name="ANTAL" dataDxfId="4107"/>
    <tableColumn id="6" xr3:uid="{BB5FE4EB-D6D3-4A36-8699-7666550DAE31}" name="GRUPP/LAG/SKOLA/ETC." dataDxfId="4106"/>
  </tableColumns>
  <tableStyleInfo name="Hallbokningsschema 2" showFirstColumn="0" showLastColumn="0" showRowStripes="0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DD4CA180-522A-4803-B270-243C3D6C9F70}" name="Tabell43037798693100107114121128135" displayName="Tabell43037798693100107114121128135" ref="A26:F31" totalsRowShown="0" headerRowDxfId="4105" dataDxfId="4104">
  <autoFilter ref="A26:F31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0953774-B45A-4CC0-A553-15C7DC6490E7}" name="DAG" dataDxfId="2195">
      <calculatedColumnFormula>PROPER(TEXT(B27, "dddd"))</calculatedColumnFormula>
    </tableColumn>
    <tableColumn id="2" xr3:uid="{E0A7A495-208F-4125-B1DE-4D01458B21B1}" name="DATUM" dataDxfId="2193">
      <calculatedColumnFormula>Torsdag5</calculatedColumnFormula>
    </tableColumn>
    <tableColumn id="3" xr3:uid="{F221B4BB-1F0A-4659-A5B7-A3165F16569F}" name="Tid1" dataDxfId="2194"/>
    <tableColumn id="4" xr3:uid="{ECC15411-74CB-4300-8DA7-41CAB6F60B7F}" name="TID" dataDxfId="4103"/>
    <tableColumn id="5" xr3:uid="{3B8AD3ED-6E61-462F-91F7-677F7B648F21}" name="ANTAL" dataDxfId="4102"/>
    <tableColumn id="6" xr3:uid="{057AD11D-8630-474D-8385-17D4420777AE}" name="GRUPP/LAG/SKOLA/ETC." dataDxfId="4101"/>
  </tableColumns>
  <tableStyleInfo name="Hallbokningsschema 2" showFirstColumn="0" showLastColumn="0" showRowStripes="0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45B3A3A5-F351-4169-A203-528796DBADFB}" name="Tabell53138808794101108115122129136" displayName="Tabell53138808794101108115122129136" ref="A32:F39" totalsRowShown="0" headerRowDxfId="4100" dataDxfId="4099">
  <autoFilter ref="A32:F39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3:F39">
    <sortCondition ref="C33:C39"/>
  </sortState>
  <tableColumns count="6">
    <tableColumn id="1" xr3:uid="{C8CC34DF-E460-4550-8AAD-4B515E2F8C59}" name="DAG" dataDxfId="2192">
      <calculatedColumnFormula>PROPER(TEXT(B33, "dddd"))</calculatedColumnFormula>
    </tableColumn>
    <tableColumn id="2" xr3:uid="{E60A3C6E-CF04-4352-8235-4BAA46A891F5}" name="DATUM" dataDxfId="2190">
      <calculatedColumnFormula>Fredag5</calculatedColumnFormula>
    </tableColumn>
    <tableColumn id="3" xr3:uid="{77EF9139-389E-4615-A1D2-40201488E2BE}" name="Tid1" dataDxfId="2191"/>
    <tableColumn id="4" xr3:uid="{062257FA-5626-4D16-9779-1E3D15FA21D3}" name="TID" dataDxfId="4098"/>
    <tableColumn id="5" xr3:uid="{0DCF0E3F-8A8D-4112-843C-C4BCA76DA6D2}" name="ANTAL" dataDxfId="4097"/>
    <tableColumn id="6" xr3:uid="{CF833EED-30C7-40FD-B482-51A675FDD980}" name="GRUPP/LAG/SKOLA/ETC." dataDxfId="4096"/>
  </tableColumns>
  <tableStyleInfo name="Hallbokningsschema 2" showFirstColumn="0" showLastColumn="0" showRowStripes="0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C74E5E86-BF61-4F57-AF81-8E1A7C2392BA}" name="Tabell63239818895102109116123130137" displayName="Tabell63239818895102109116123130137" ref="A40:F44" totalsRowShown="0" headerRowDxfId="4095" dataDxfId="4094">
  <autoFilter ref="A40:F44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D458D1E-8584-41B5-9BBD-C461963B4856}" name="DAG" dataDxfId="2189">
      <calculatedColumnFormula>PROPER(TEXT(B41, "dddd"))</calculatedColumnFormula>
    </tableColumn>
    <tableColumn id="2" xr3:uid="{F4E57948-39DB-4BC3-9423-8CAA97334B6D}" name="DATUM" dataDxfId="2187">
      <calculatedColumnFormula>Lördag5</calculatedColumnFormula>
    </tableColumn>
    <tableColumn id="3" xr3:uid="{A31ECBFC-CE9B-4276-9114-4511A8F351FC}" name="Tid1" dataDxfId="2188"/>
    <tableColumn id="4" xr3:uid="{DF67DF8E-0F31-43B5-94F8-9C4DF3CD4217}" name="TID" dataDxfId="4093"/>
    <tableColumn id="5" xr3:uid="{10E1B3BC-4E14-4AE9-A408-19C62BB7EBC6}" name="ANTAL" dataDxfId="4092"/>
    <tableColumn id="6" xr3:uid="{25573E56-E157-4B3F-A14C-9894C766E690}" name="GRUPP/LAG/SKOLA/ETC." dataDxfId="4091"/>
  </tableColumns>
  <tableStyleInfo name="Hallbokningsschema 2" showFirstColumn="0" showLastColumn="0" showRowStripes="0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4B65DBC9-E125-4917-BB0C-A4AA8E53D01D}" name="Tabell73340828996103110117124131138" displayName="Tabell73340828996103110117124131138" ref="A45:F47" totalsRowShown="0" headerRowDxfId="4090" dataDxfId="4089">
  <autoFilter ref="A45:F47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E93FC17-3100-4F1C-A3B4-36745FA8AEF6}" name="DAG" dataDxfId="2186">
      <calculatedColumnFormula>PROPER(TEXT(B46, "dddd"))</calculatedColumnFormula>
    </tableColumn>
    <tableColumn id="2" xr3:uid="{0B6415A7-9152-43D7-8015-02CE905E7065}" name="DATUM" dataDxfId="2184">
      <calculatedColumnFormula>Söndag5</calculatedColumnFormula>
    </tableColumn>
    <tableColumn id="3" xr3:uid="{7D741365-0705-4FC2-A861-646D5BCAA8EE}" name="Tid1" dataDxfId="2185"/>
    <tableColumn id="4" xr3:uid="{957F4332-06AB-4284-81E6-8CDC7EE0E305}" name="TID" dataDxfId="4088"/>
    <tableColumn id="5" xr3:uid="{C03C81E4-81F0-409F-AC63-12FAAF987B05}" name="ANTAL" dataDxfId="4087"/>
    <tableColumn id="6" xr3:uid="{39D984EC-37FB-4946-9FCD-36F2997E8836}" name="GRUPP/LAG/SKOLA/ETC." dataDxfId="4086"/>
  </tableColumns>
  <tableStyleInfo name="Hallbokningsschema 2" showFirstColumn="0" showLastColumn="0" showRowStripes="0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A38D5E31-1267-445A-8EC1-AA7EAE43E19C}" name="Tabell162" displayName="Tabell162" ref="A2:F6" totalsRowShown="0" headerRowDxfId="4085" dataDxfId="4084">
  <autoFilter ref="A2:F6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7C307BC-1A87-4C82-AC70-2BD2478C0140}" name="DAG" dataDxfId="2183">
      <calculatedColumnFormula>PROPER(TEXT(B3, "dddd"))</calculatedColumnFormula>
    </tableColumn>
    <tableColumn id="2" xr3:uid="{50C3F8A6-EF68-4FF6-879E-B9536549C2E3}" name="DATUM" dataDxfId="2181">
      <calculatedColumnFormula>Måndag6</calculatedColumnFormula>
    </tableColumn>
    <tableColumn id="3" xr3:uid="{8778D444-34F6-4A9B-ABEC-0B40E330E997}" name="Tid1" dataDxfId="2182"/>
    <tableColumn id="4" xr3:uid="{F29F40F6-0DDA-4FC3-86B3-6BCE975D6687}" name="TID" dataDxfId="4083"/>
    <tableColumn id="5" xr3:uid="{4B4853D9-CAB4-44CE-B8F4-28FC77D0EED4}" name="ANTAL" dataDxfId="4082"/>
    <tableColumn id="6" xr3:uid="{738BE482-525C-4246-89B3-7ACA7AD61006}" name="GRUPP/LAG/SKOLA/ETC." dataDxfId="4081"/>
  </tableColumns>
  <tableStyleInfo name="Hallbokningsschema 2" showFirstColumn="0" showLastColumn="0" showRowStripes="0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EDC3BFB-C969-41FA-ACE8-1FC4B55BAC94}" name="Tabell263" displayName="Tabell263" ref="A7:F12" totalsRowShown="0" headerRowDxfId="4080" dataDxfId="4079">
  <autoFilter ref="A7:F12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AE28C22-862B-4009-8085-B4AC0EBEF59D}" name="DAG" dataDxfId="2180">
      <calculatedColumnFormula>PROPER(TEXT(B8, "dddd"))</calculatedColumnFormula>
    </tableColumn>
    <tableColumn id="2" xr3:uid="{BBC77E8D-7057-4D67-95A6-8A96209F79DA}" name="DATUM" dataDxfId="2178">
      <calculatedColumnFormula>Tisdag6</calculatedColumnFormula>
    </tableColumn>
    <tableColumn id="3" xr3:uid="{911E4E2E-AE67-48DA-83CB-9890BE591590}" name="Tid1" dataDxfId="2179"/>
    <tableColumn id="4" xr3:uid="{8F715811-A01D-41CF-A860-0B202B1CB080}" name="TID" dataDxfId="4078"/>
    <tableColumn id="5" xr3:uid="{9680D844-56B4-435B-9332-AAFDBBE25F9E}" name="ANTAL" dataDxfId="4077"/>
    <tableColumn id="6" xr3:uid="{84346C11-7F26-4E72-8312-9B041AE9EC13}" name="GRUPP/LAG/SKOLA/ETC." dataDxfId="4076"/>
  </tableColumns>
  <tableStyleInfo name="Hallbokningsschema 2" showFirstColumn="0" showLastColumn="0" showRowStripes="0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14FD6EF-1D59-4323-8765-381BD6BAF8D4}" name="Tabell364" displayName="Tabell364" ref="A13:F21" totalsRowShown="0" headerRowDxfId="4075" dataDxfId="4074">
  <autoFilter ref="A13:F21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12186BC-4AAE-4C8C-A16F-00C1F5A30D2A}" name="DAG" dataDxfId="2177">
      <calculatedColumnFormula>PROPER(TEXT(B14, "dddd"))</calculatedColumnFormula>
    </tableColumn>
    <tableColumn id="2" xr3:uid="{EDEB4A00-B7ED-45F2-85DB-D068E808FA42}" name="DATUM" dataDxfId="2175">
      <calculatedColumnFormula>Onsdag6</calculatedColumnFormula>
    </tableColumn>
    <tableColumn id="3" xr3:uid="{9378631E-D719-4905-ABA3-D347F7BA3A0D}" name="Tid1" dataDxfId="2176"/>
    <tableColumn id="4" xr3:uid="{FB79992A-514E-482C-96D5-A814295A4B4F}" name="TID" dataDxfId="4073"/>
    <tableColumn id="5" xr3:uid="{686F4EB8-6845-42EF-ADC2-1BCEA0612B0C}" name="ANTAL" dataDxfId="4072"/>
    <tableColumn id="6" xr3:uid="{ACAE9587-A73E-4D10-8EA1-83BB4CF4275F}" name="GRUPP/LAG/SKOLA/ETC." dataDxfId="4071"/>
  </tableColumns>
  <tableStyleInfo name="Hallbokningsschema 2" showFirstColumn="0" showLastColumn="0" showRowStripes="0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94F1E631-1699-4E72-B0F2-46353C2F1B09}" name="Tabell465" displayName="Tabell465" ref="A22:F30" totalsRowShown="0" headerRowDxfId="4070" dataDxfId="4069">
  <autoFilter ref="A22:F30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FAAB735-DC7D-4B74-8508-8AE421B5BC28}" name="DAG" dataDxfId="2174">
      <calculatedColumnFormula>PROPER(TEXT(B23, "dddd"))</calculatedColumnFormula>
    </tableColumn>
    <tableColumn id="2" xr3:uid="{8EF2A130-7140-4045-AB29-143620E64BE0}" name="DATUM" dataDxfId="2172">
      <calculatedColumnFormula>Torsdag6</calculatedColumnFormula>
    </tableColumn>
    <tableColumn id="3" xr3:uid="{AEA37FF4-7B20-45B6-B103-179482EF319D}" name="Tid1" dataDxfId="2173"/>
    <tableColumn id="4" xr3:uid="{D2187C45-89E5-4B9D-9E2D-061E4528D9EF}" name="TID" dataDxfId="4068"/>
    <tableColumn id="5" xr3:uid="{7DD01B80-A530-4B3B-B376-A67F1DC8C21D}" name="ANTAL" dataDxfId="4067"/>
    <tableColumn id="6" xr3:uid="{5B77A88E-94B3-4E2A-BAF3-26B625027C7C}" name="GRUPP/LAG/SKOLA/ETC." dataDxfId="4066"/>
  </tableColumns>
  <tableStyleInfo name="Hallbokningsschema 2" showFirstColumn="0" showLastColumn="0" showRowStripes="0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35C2599E-5E77-47EC-98D8-3A4CEAF138DD}" name="Tabell566" displayName="Tabell566" ref="A31:F38" totalsRowShown="0" headerRowDxfId="4065" dataDxfId="4064">
  <autoFilter ref="A31:F38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7532057-5CC6-4C37-896D-193024045D5C}" name="DAG" dataDxfId="2171">
      <calculatedColumnFormula>PROPER(TEXT(B32, "dddd"))</calculatedColumnFormula>
    </tableColumn>
    <tableColumn id="2" xr3:uid="{1553E0C0-C9D8-4337-8141-7A68863663FC}" name="DATUM" dataDxfId="2169">
      <calculatedColumnFormula>Fredag6</calculatedColumnFormula>
    </tableColumn>
    <tableColumn id="3" xr3:uid="{D013BA68-BBFB-4E81-948F-C6DFBB3C497A}" name="Tid1" dataDxfId="2170"/>
    <tableColumn id="4" xr3:uid="{14147F25-2001-430D-BAD9-8A16439D1EBB}" name="TID" dataDxfId="4063"/>
    <tableColumn id="5" xr3:uid="{58B34B7F-6FE5-4CFA-9AD7-424DDE42DCF8}" name="ANTAL" dataDxfId="4062"/>
    <tableColumn id="6" xr3:uid="{A4CEFCE2-A7D9-41AD-AD19-E3E79FFE3657}" name="GRUPP/LAG/SKOLA/ETC." dataDxfId="4061"/>
  </tableColumns>
  <tableStyleInfo name="Hallbokningsschema 2" showFirstColumn="0" showLastColumn="0" showRowStripes="0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CF29A849-0365-427B-ADBA-4533A83B44A2}" name="Tabell667" displayName="Tabell667" ref="A39:F43" totalsRowShown="0" headerRowDxfId="4060" dataDxfId="4059">
  <autoFilter ref="A39:F4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0D93DA2-23AF-4D76-80BD-6007DDFB033C}" name="DAG" dataDxfId="2168">
      <calculatedColumnFormula>PROPER(TEXT(B40, "dddd"))</calculatedColumnFormula>
    </tableColumn>
    <tableColumn id="2" xr3:uid="{C6DABD65-07DC-4927-A716-9D6A33B5AB30}" name="DATUM" dataDxfId="2166">
      <calculatedColumnFormula>Lördag6</calculatedColumnFormula>
    </tableColumn>
    <tableColumn id="3" xr3:uid="{672E5663-04EF-473D-9D04-AD51CC36D411}" name="Tid1" dataDxfId="2167"/>
    <tableColumn id="4" xr3:uid="{0DD4CBA5-24BA-495F-821C-D5234610370D}" name="TID" dataDxfId="4058"/>
    <tableColumn id="5" xr3:uid="{D60EE0AA-ED1F-4F6D-B289-C4868B041663}" name="ANTAL" dataDxfId="4057"/>
    <tableColumn id="6" xr3:uid="{E7BBE42B-F823-4186-98F6-3C848BE3D874}" name="GRUPP/LAG/SKOLA/ETC." dataDxfId="4056"/>
  </tableColumns>
  <tableStyleInfo name="Hallbokningsschema 2" showFirstColumn="0" showLastColumn="0" showRowStripes="0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43477B46-429F-4F6A-BB0F-384A76B6E946}" name="Tabell768" displayName="Tabell768" ref="A44:F45" totalsRowShown="0" headerRowDxfId="4055" dataDxfId="4054">
  <autoFilter ref="A44:F4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B74BD06-F807-44F5-8CE1-7F9444718892}" name="DAG" dataDxfId="2165">
      <calculatedColumnFormula>PROPER(TEXT(B45, "dddd"))</calculatedColumnFormula>
    </tableColumn>
    <tableColumn id="2" xr3:uid="{8305BFB2-435C-46DD-B171-0521CB4B4458}" name="DATUM" dataDxfId="2163">
      <calculatedColumnFormula>Söndag6</calculatedColumnFormula>
    </tableColumn>
    <tableColumn id="3" xr3:uid="{1E9E43D7-951C-4F46-BC34-F77D2ED986B8}" name="Tid1" dataDxfId="2164"/>
    <tableColumn id="4" xr3:uid="{65E18B8D-4B50-42D3-B25C-CA44402C1AE7}" name="TID" dataDxfId="4053"/>
    <tableColumn id="5" xr3:uid="{DB4F7E2A-BA28-4762-B99D-48EFD7A93A9E}" name="ANTAL" dataDxfId="4052"/>
    <tableColumn id="6" xr3:uid="{CBEDDEA3-C62A-48E6-A688-E36DDE672DE4}" name="GRUPP/LAG/SKOLA/ETC." dataDxfId="4051"/>
  </tableColumns>
  <tableStyleInfo name="Hallbokningsschema 2" showFirstColumn="0" showLastColumn="0" showRowStripes="0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9D8E4BDF-6D00-4EED-996F-4C30B6707316}" name="Tabell16269" displayName="Tabell16269" ref="A2:F6" totalsRowShown="0" headerRowDxfId="4050" dataDxfId="4049">
  <autoFilter ref="A2:F6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C5750BB-8FA5-40CE-922C-D7E9EB253837}" name="DAG" dataDxfId="2162">
      <calculatedColumnFormula>PROPER(TEXT(B3, "dddd"))</calculatedColumnFormula>
    </tableColumn>
    <tableColumn id="2" xr3:uid="{EB811215-2A35-4041-B76D-57821E941ED2}" name="DATUM" dataDxfId="2160">
      <calculatedColumnFormula>Måndag7</calculatedColumnFormula>
    </tableColumn>
    <tableColumn id="3" xr3:uid="{492E5176-EE10-4D6C-AD4C-A369ED6BE777}" name="Tid1" dataDxfId="2161"/>
    <tableColumn id="4" xr3:uid="{39B0FEF3-A616-4DC5-B456-70891F3B9E43}" name="TID" dataDxfId="4048"/>
    <tableColumn id="5" xr3:uid="{08727A9B-FDA7-4C2C-BB0E-CA260B50D701}" name="ANTAL" dataDxfId="4047"/>
    <tableColumn id="6" xr3:uid="{41AC1419-B0C8-4F12-BE15-6D2769F78F1B}" name="GRUPP/LAG/SKOLA/ETC." dataDxfId="4046"/>
  </tableColumns>
  <tableStyleInfo name="Hallbokningsschema 2" showFirstColumn="0" showLastColumn="0" showRowStripes="0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E09374B-AFEE-443F-AB75-DB67A7D5F2B2}" name="Tabell26370" displayName="Tabell26370" ref="A7:F13" totalsRowShown="0" headerRowDxfId="4045" dataDxfId="4044">
  <autoFilter ref="A7:F13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C662B6A-EB12-4587-A791-CF5125994105}" name="DAG" dataDxfId="2159">
      <calculatedColumnFormula>PROPER(TEXT(B8, "dddd"))</calculatedColumnFormula>
    </tableColumn>
    <tableColumn id="2" xr3:uid="{D72B4E35-F28B-46EF-8232-80BA9E252A63}" name="DATUM" dataDxfId="2157">
      <calculatedColumnFormula>Tisdag7</calculatedColumnFormula>
    </tableColumn>
    <tableColumn id="3" xr3:uid="{699745A0-FDA3-4DE9-9E92-F0E7E4AB541A}" name="Tid1" dataDxfId="2158"/>
    <tableColumn id="4" xr3:uid="{571EF224-BB3C-4C8E-9348-C025A78873BC}" name="TID" dataDxfId="4043"/>
    <tableColumn id="5" xr3:uid="{7BBDB18C-DA38-4A37-9D99-D04F04D48350}" name="ANTAL" dataDxfId="4042"/>
    <tableColumn id="6" xr3:uid="{CC82D11C-1036-4954-AD68-E1CE1B24FC68}" name="GRUPP/LAG/SKOLA/ETC." dataDxfId="4041"/>
  </tableColumns>
  <tableStyleInfo name="Hallbokningsschema 2" showFirstColumn="0" showLastColumn="0" showRowStripes="0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B1F317F1-D757-45D1-9F8D-DB0E2189C506}" name="Tabell36471" displayName="Tabell36471" ref="A14:F22" totalsRowShown="0" headerRowDxfId="4040" dataDxfId="4039">
  <autoFilter ref="A14:F22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C7F87FA-F5AD-42E2-978D-2E8EDF9DC81B}" name="DAG" dataDxfId="2156">
      <calculatedColumnFormula>PROPER(TEXT(B15, "dddd"))</calculatedColumnFormula>
    </tableColumn>
    <tableColumn id="2" xr3:uid="{E9EE4536-34B2-4A49-B062-791F4A3AD561}" name="DATUM" dataDxfId="2154">
      <calculatedColumnFormula>Onsdag7</calculatedColumnFormula>
    </tableColumn>
    <tableColumn id="3" xr3:uid="{A3C64882-2B58-4BAB-B066-53F45F2D9057}" name="Tid1" dataDxfId="2155"/>
    <tableColumn id="4" xr3:uid="{A85F8566-359E-43E5-B8D6-8F9D68ABCE7E}" name="TID" dataDxfId="4038"/>
    <tableColumn id="5" xr3:uid="{6505ABF9-A14C-4D57-9326-AD758C4162B0}" name="ANTAL" dataDxfId="4037"/>
    <tableColumn id="6" xr3:uid="{5411BA4E-EB62-406B-885C-4C603BCB3F65}" name="GRUPP/LAG/SKOLA/ETC." dataDxfId="4036"/>
  </tableColumns>
  <tableStyleInfo name="Hallbokningsschema 2" showFirstColumn="0" showLastColumn="0" showRowStripes="0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6F6DDA16-44D5-41FA-8587-677668706164}" name="Tabell46572" displayName="Tabell46572" ref="A23:F32" totalsRowShown="0" headerRowDxfId="4035" dataDxfId="4034">
  <autoFilter ref="A23:F32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4:F31">
    <sortCondition ref="C24:C31"/>
  </sortState>
  <tableColumns count="6">
    <tableColumn id="1" xr3:uid="{5C1A6EC7-A7FF-4A4C-B442-E31131BA6FD5}" name="DAG" dataDxfId="2153">
      <calculatedColumnFormula>PROPER(TEXT(B24, "dddd"))</calculatedColumnFormula>
    </tableColumn>
    <tableColumn id="2" xr3:uid="{A7BBE5FF-FEBC-40C9-9716-1C3A03E7E12B}" name="DATUM" dataDxfId="2151">
      <calculatedColumnFormula>Torsdag7</calculatedColumnFormula>
    </tableColumn>
    <tableColumn id="3" xr3:uid="{4D832C84-133A-4F91-BB6C-729884EBE2E6}" name="Tid1" dataDxfId="2152"/>
    <tableColumn id="4" xr3:uid="{886146FD-91C7-4556-BF59-A01F90A471DE}" name="TID" dataDxfId="4033"/>
    <tableColumn id="5" xr3:uid="{1C602C47-0143-454F-8F32-EE7A092B8273}" name="ANTAL" dataDxfId="4032"/>
    <tableColumn id="6" xr3:uid="{CFB543CB-0D52-4E10-ABB7-768C4E40D312}" name="GRUPP/LAG/SKOLA/ETC." dataDxfId="4031"/>
  </tableColumns>
  <tableStyleInfo name="Hallbokningsschema 2" showFirstColumn="0" showLastColumn="0" showRowStripes="0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A557935B-0532-450E-BBF3-8AB2421DCB4B}" name="Tabell56673" displayName="Tabell56673" ref="A33:F38" totalsRowShown="0" headerRowDxfId="4030" dataDxfId="4029">
  <autoFilter ref="A33:F38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7DD3D50-8CA3-4C30-99A3-2E58B84E45F0}" name="DAG" dataDxfId="2150">
      <calculatedColumnFormula>PROPER(TEXT(B34, "dddd"))</calculatedColumnFormula>
    </tableColumn>
    <tableColumn id="2" xr3:uid="{275A68B9-6388-47F0-8C40-0AD7D52D61CB}" name="DATUM" dataDxfId="2148">
      <calculatedColumnFormula>Fredag7</calculatedColumnFormula>
    </tableColumn>
    <tableColumn id="3" xr3:uid="{73B2B453-E00D-4331-9C84-E2A1DA89CB46}" name="Tid1" dataDxfId="2149"/>
    <tableColumn id="4" xr3:uid="{5F2A68E2-CE01-4DE3-9C54-04D3C2C1562F}" name="TID" dataDxfId="4028"/>
    <tableColumn id="5" xr3:uid="{6F63BC25-E484-4056-B7FC-97FFE43844E2}" name="ANTAL" dataDxfId="4027"/>
    <tableColumn id="6" xr3:uid="{DDFD3AA5-0E86-449D-A7D6-8B5B86CB5713}" name="GRUPP/LAG/SKOLA/ETC." dataDxfId="4026"/>
  </tableColumns>
  <tableStyleInfo name="Hallbokningsschema 2" showFirstColumn="0" showLastColumn="0" showRowStripes="0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741015B3-B9FC-4CA5-BDDF-188E8B8951CF}" name="Tabell66774" displayName="Tabell66774" ref="A39:F43" totalsRowShown="0" headerRowDxfId="4025" dataDxfId="4024">
  <autoFilter ref="A39:F4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40:F43">
    <sortCondition ref="C40:C43"/>
  </sortState>
  <tableColumns count="6">
    <tableColumn id="1" xr3:uid="{FFBD2AA6-15B2-4AA2-8C29-BA4340336E64}" name="DAG" dataDxfId="2147">
      <calculatedColumnFormula>PROPER(TEXT(B40, "dddd"))</calculatedColumnFormula>
    </tableColumn>
    <tableColumn id="2" xr3:uid="{CC9808C5-6DB2-4167-A8C2-C22C76B9BC8B}" name="DATUM" dataDxfId="2145">
      <calculatedColumnFormula>Lördag7</calculatedColumnFormula>
    </tableColumn>
    <tableColumn id="3" xr3:uid="{AB0BF5AF-3523-4BDB-9D80-EBAA3A9C462E}" name="Tid1" dataDxfId="2146"/>
    <tableColumn id="4" xr3:uid="{C094D981-2FBA-4476-9C68-C8130ABD2D12}" name="TID" dataDxfId="4023"/>
    <tableColumn id="5" xr3:uid="{F6B063CF-F6F3-4DFC-BB63-D7CBAAF6F5AD}" name="ANTAL" dataDxfId="4022"/>
    <tableColumn id="6" xr3:uid="{B1FCC919-5AAA-4C34-978B-D6E4C5CEE1A3}" name="GRUPP/LAG/SKOLA/ETC." dataDxfId="4021"/>
  </tableColumns>
  <tableStyleInfo name="Hallbokningsschema 2" showFirstColumn="0" showLastColumn="0" showRowStripes="0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B25A4F97-E83E-4E2E-BACA-08199218C132}" name="Tabell76875" displayName="Tabell76875" ref="A44:F45" totalsRowShown="0" headerRowDxfId="4020" dataDxfId="4019">
  <autoFilter ref="A44:F4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B9F4E80-50AA-43D5-AE5C-0822EDA59884}" name="DAG" dataDxfId="2144">
      <calculatedColumnFormula>PROPER(TEXT(B45, "dddd"))</calculatedColumnFormula>
    </tableColumn>
    <tableColumn id="2" xr3:uid="{37DD0CAB-0996-48C2-A53D-BF6A78F4967E}" name="DATUM" dataDxfId="2142">
      <calculatedColumnFormula>Söndag7</calculatedColumnFormula>
    </tableColumn>
    <tableColumn id="3" xr3:uid="{F08ADFD9-B214-4DAD-8D58-6D9647E223D0}" name="Tid1" dataDxfId="2143"/>
    <tableColumn id="4" xr3:uid="{1D4FCAEA-08FD-4D73-81AC-6BB0258591C0}" name="TID" dataDxfId="4018"/>
    <tableColumn id="5" xr3:uid="{A293A4F7-1A67-4532-AA56-7248BDCF3E0D}" name="ANTAL" dataDxfId="4017"/>
    <tableColumn id="6" xr3:uid="{65747ED4-8051-4A99-B920-EB9AC302A546}" name="GRUPP/LAG/SKOLA/ETC." dataDxfId="4016"/>
  </tableColumns>
  <tableStyleInfo name="Hallbokningsschema 2" showFirstColumn="0" showLastColumn="0" showRowStripes="0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9" xr:uid="{E5216CDC-4285-4946-8D7A-09689E82B41A}" name="Tabell13441485576839097104111118125139146153160167174181188195202209216223230237244251258265272279286293300307314321328335342349356363370" displayName="Tabell13441485576839097104111118125139146153160167174181188195202209216223230237244251258265272279286293300307314321328335342349356363370" ref="A2:F7" totalsRowShown="0" headerRowDxfId="4015" dataDxfId="4014">
  <autoFilter ref="A2:F7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E7AE63A-54B4-4CCE-9567-CE760DD002A9}" name="DAG" dataDxfId="2141">
      <calculatedColumnFormula>PROPER(TEXT(B3, "dddd"))</calculatedColumnFormula>
    </tableColumn>
    <tableColumn id="2" xr3:uid="{7E1427B4-2139-4FD0-BAD8-8ACA0285478A}" name="DATUM" dataDxfId="2139">
      <calculatedColumnFormula>Måndag8</calculatedColumnFormula>
    </tableColumn>
    <tableColumn id="3" xr3:uid="{2A8667C8-4B67-44BD-A4B1-62A33D1BEA64}" name="Tid1" dataDxfId="2140"/>
    <tableColumn id="4" xr3:uid="{E71B7FBF-E996-482C-87E0-4BBF235606C3}" name="TID" dataDxfId="4013"/>
    <tableColumn id="5" xr3:uid="{FEC40D8B-58CF-4BB2-871C-E6D8E8A883F5}" name="ANTAL" dataDxfId="4012"/>
    <tableColumn id="6" xr3:uid="{1599CA8E-BBF4-4872-B29F-1CE2C3B633E2}" name="GRUPP/LAG/SKOLA/ETC." dataDxfId="4011"/>
  </tableColumns>
  <tableStyleInfo name="Hallbokningsschema 2" showFirstColumn="0" showLastColumn="0" showRowStripes="0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0" xr:uid="{E24D84BA-02CF-4CFD-8FBF-FC352C7D8D63}" name="Tabell23542495677849198105112119126140147154161168175182189196203210217224231238245252259266273280287294301308315322329336343350357364371" displayName="Tabell23542495677849198105112119126140147154161168175182189196203210217224231238245252259266273280287294301308315322329336343350357364371" ref="A8:F14" totalsRowShown="0" headerRowDxfId="4010" dataDxfId="4009">
  <autoFilter ref="A8:F14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5074AE1-D0B9-4D84-970C-375A19EEF2D4}" name="DAG" dataDxfId="2138">
      <calculatedColumnFormula>PROPER(TEXT(B9, "dddd"))</calculatedColumnFormula>
    </tableColumn>
    <tableColumn id="2" xr3:uid="{26977B2B-AD30-4C63-8FB7-0E7DB7B1E45D}" name="DATUM" dataDxfId="2136">
      <calculatedColumnFormula>Tisdag8</calculatedColumnFormula>
    </tableColumn>
    <tableColumn id="3" xr3:uid="{5EDB3CB2-45A3-4F93-B073-E1C1FC7B19AB}" name="Tid1" dataDxfId="2137"/>
    <tableColumn id="4" xr3:uid="{F44C92E3-D0C2-48AF-8822-8154AD3A0FEB}" name="TID" dataDxfId="4008"/>
    <tableColumn id="5" xr3:uid="{0195E6FD-8B32-4CFC-BCAE-996B2A1AE6A5}" name="ANTAL" dataDxfId="4007"/>
    <tableColumn id="6" xr3:uid="{72F36FF9-5C1B-4256-828C-4CFD49D83FEE}" name="GRUPP/LAG/SKOLA/ETC." dataDxfId="4006"/>
  </tableColumns>
  <tableStyleInfo name="Hallbokningsschema 2" showFirstColumn="0" showLastColumn="0" showRowStripes="0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1" xr:uid="{2311C438-C131-4519-9175-459B25B08A5A}" name="Tabell33643505778859299106113120127141148155162169176183190197204211218225232239246253260267274281288295302309316323330337344351358365372" displayName="Tabell33643505778859299106113120127141148155162169176183190197204211218225232239246253260267274281288295302309316323330337344351358365372" ref="A15:F22" totalsRowShown="0" headerRowDxfId="4005" dataDxfId="4004">
  <autoFilter ref="A15:F22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03E4174-3E7E-42FA-8CBE-27DD2B759BFB}" name="DAG" dataDxfId="2135">
      <calculatedColumnFormula>PROPER(TEXT(B16, "dddd"))</calculatedColumnFormula>
    </tableColumn>
    <tableColumn id="2" xr3:uid="{06A96D95-EAB1-4DF8-A73F-0AE44B489B09}" name="DATUM" dataDxfId="2133">
      <calculatedColumnFormula>Onsdag8</calculatedColumnFormula>
    </tableColumn>
    <tableColumn id="3" xr3:uid="{DF3AAC1F-1C41-4D96-B20F-A8140358006F}" name="Tid1" dataDxfId="2134"/>
    <tableColumn id="4" xr3:uid="{B01F9F66-0B07-4BCB-8D4C-104007AA5F3E}" name="TID" dataDxfId="4003"/>
    <tableColumn id="5" xr3:uid="{A23F7CB9-E5CD-44F7-BA40-29DAC9A4524F}" name="ANTAL" dataDxfId="4002"/>
    <tableColumn id="6" xr3:uid="{2FC31E6C-ABD6-4770-AEFF-BF318AEF549D}" name="GRUPP/LAG/SKOLA/ETC." dataDxfId="4001"/>
  </tableColumns>
  <tableStyleInfo name="Hallbokningsschema 2" showFirstColumn="0" showLastColumn="0" showRowStripes="0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2" xr:uid="{D7F6303F-F575-44A6-930D-FFA37A95AA1B}" name="Tabell437445158798693100107114121128142149156163170177184191198205212219226233240247254261268275282289296303310317324331338345352359366373" displayName="Tabell437445158798693100107114121128142149156163170177184191198205212219226233240247254261268275282289296303310317324331338345352359366373" ref="A23:F29" totalsRowShown="0" headerRowDxfId="4000" dataDxfId="3999">
  <autoFilter ref="A23:F2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4:F29">
    <sortCondition ref="C24:C29"/>
  </sortState>
  <tableColumns count="6">
    <tableColumn id="1" xr3:uid="{0F159128-0C6E-4335-BA03-4F560DC34793}" name="DAG" dataDxfId="2132">
      <calculatedColumnFormula>PROPER(TEXT(B24, "dddd"))</calculatedColumnFormula>
    </tableColumn>
    <tableColumn id="2" xr3:uid="{28F06BCD-A9FA-434C-AA8A-A3A0B94A93EF}" name="DATUM" dataDxfId="2130">
      <calculatedColumnFormula>Torsdag8</calculatedColumnFormula>
    </tableColumn>
    <tableColumn id="3" xr3:uid="{0555BFC1-7EC7-46E4-8377-9446C171AFB2}" name="Tid1" dataDxfId="2131"/>
    <tableColumn id="4" xr3:uid="{07E5C6A5-EB00-423A-85CD-1FB3866C98D1}" name="TID" dataDxfId="3998"/>
    <tableColumn id="5" xr3:uid="{F90DDED5-EA59-47A3-B7F7-D44CC665AD52}" name="ANTAL" dataDxfId="3997"/>
    <tableColumn id="6" xr3:uid="{C6D81A0E-2638-4B9A-84F9-CA24F773D1F2}" name="GRUPP/LAG/SKOLA/ETC." dataDxfId="3996"/>
  </tableColumns>
  <tableStyleInfo name="Hallbokningsschema 2" showFirstColumn="0" showLastColumn="0" showRowStripes="0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3" xr:uid="{66D31B3B-4B77-43F8-8155-498799AFFCD1}" name="Tabell538455259808794101108115122129143150157164171178185192199206213220227234241248255262269276283290297304311318325332339346353360367374" displayName="Tabell538455259808794101108115122129143150157164171178185192199206213220227234241248255262269276283290297304311318325332339346353360367374" ref="A30:F35" totalsRowShown="0" headerRowDxfId="3995" dataDxfId="3994">
  <autoFilter ref="A30:F35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60A2E78-D0A2-4969-9FE5-1CB705C30F4D}" name="DAG" dataDxfId="2129">
      <calculatedColumnFormula>PROPER(TEXT(B31, "dddd"))</calculatedColumnFormula>
    </tableColumn>
    <tableColumn id="2" xr3:uid="{9DD1ED1E-9C4B-477F-80D5-0CAE36111630}" name="DATUM" dataDxfId="2127">
      <calculatedColumnFormula>Fredag8</calculatedColumnFormula>
    </tableColumn>
    <tableColumn id="3" xr3:uid="{66F1A540-050D-49EC-A4F2-ABE6D8722F7D}" name="Tid1" dataDxfId="2128"/>
    <tableColumn id="4" xr3:uid="{02ACE060-980E-44FE-8697-EEE65824E08E}" name="TID" dataDxfId="3993"/>
    <tableColumn id="5" xr3:uid="{D37E789B-E428-4608-ACE3-5A2AF7B4A015}" name="ANTAL" dataDxfId="3992"/>
    <tableColumn id="6" xr3:uid="{6356686C-1683-4A4F-9509-D9F0A9BCF0DE}" name="GRUPP/LAG/SKOLA/ETC." dataDxfId="3991"/>
  </tableColumns>
  <tableStyleInfo name="Hallbokningsschema 2" showFirstColumn="0" showLastColumn="0" showRowStripes="0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4" xr:uid="{6AE7B041-25E2-4704-B7B4-BB69F65D7BC9}" name="Tabell639465360818895102109116123130144151158165172179186193200207214221228235242249256263270277284291298305312319326333340347354361368375" displayName="Tabell639465360818895102109116123130144151158165172179186193200207214221228235242249256263270277284291298305312319326333340347354361368375" ref="A36:F39" totalsRowShown="0" headerRowDxfId="3990" dataDxfId="3989">
  <autoFilter ref="A36:F39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7:F39">
    <sortCondition ref="C37:C39"/>
  </sortState>
  <tableColumns count="6">
    <tableColumn id="1" xr3:uid="{8E75564C-0F61-4A0E-A313-636D875FB330}" name="DAG" dataDxfId="2126">
      <calculatedColumnFormula>PROPER(TEXT(B37, "dddd"))</calculatedColumnFormula>
    </tableColumn>
    <tableColumn id="2" xr3:uid="{3A715C64-19D8-41E9-9AB4-C2EEE3F14877}" name="DATUM" dataDxfId="2124">
      <calculatedColumnFormula>Lördag8</calculatedColumnFormula>
    </tableColumn>
    <tableColumn id="3" xr3:uid="{A23EA58F-BF41-4FF2-85BC-09D39FF0743E}" name="Tid1" dataDxfId="2125"/>
    <tableColumn id="4" xr3:uid="{B6A18355-2ACF-48F2-9A04-21AF6EE8F569}" name="TID" dataDxfId="3988"/>
    <tableColumn id="5" xr3:uid="{65AD2C5E-34D2-45C2-A24A-1AF89B803389}" name="ANTAL" dataDxfId="3987"/>
    <tableColumn id="6" xr3:uid="{0B00690D-BFE7-4FAB-B42C-206892ADAF3D}" name="GRUPP/LAG/SKOLA/ETC." dataDxfId="3986"/>
  </tableColumns>
  <tableStyleInfo name="Hallbokningsschema 2" showFirstColumn="0" showLastColumn="0" showRowStripes="0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5" xr:uid="{CD6CDF14-4507-42A6-93B4-17065F4AE28B}" name="Tabell740475461828996103110117124131145152159166173180187194201208215222229236243250257264271278285292299306313320327334341348355362369376" displayName="Tabell740475461828996103110117124131145152159166173180187194201208215222229236243250257264271278285292299306313320327334341348355362369376" ref="A40:F43" totalsRowShown="0" headerRowDxfId="3985" dataDxfId="3984">
  <autoFilter ref="A40:F43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B8665D7-D27F-4F63-B12E-EADA8AAF49B5}" name="DAG" dataDxfId="2123">
      <calculatedColumnFormula>PROPER(TEXT(B41, "dddd"))</calculatedColumnFormula>
    </tableColumn>
    <tableColumn id="2" xr3:uid="{7DC3CA69-A27C-40A8-81E3-DDD7F6F4DF74}" name="DATUM" dataDxfId="2121">
      <calculatedColumnFormula>Söndag8</calculatedColumnFormula>
    </tableColumn>
    <tableColumn id="3" xr3:uid="{D2993E29-E71B-49E2-ADC7-88A136390A89}" name="Tid1" dataDxfId="2122"/>
    <tableColumn id="4" xr3:uid="{79D77F1C-32F8-46CF-81C5-1F883BF418DF}" name="TID" dataDxfId="3983"/>
    <tableColumn id="5" xr3:uid="{EFB93BDC-8E68-4DDE-8FF2-4934EC64FE8A}" name="ANTAL" dataDxfId="3982"/>
    <tableColumn id="6" xr3:uid="{4178346D-88C8-4293-94EB-43DE4D4823CF}" name="GRUPP/LAG/SKOLA/ETC." dataDxfId="3981"/>
  </tableColumns>
  <tableStyleInfo name="Hallbokningsschema 2" showFirstColumn="0" showLastColumn="0" showRowStripes="0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2" xr:uid="{9486ED22-373E-4EDA-ADF0-8AA6FEB1FAAE}" name="Tabell13441485576839097104111118125139146153160167174181188195202209216223230237244251258265272279286293300307314321328335342349356363" displayName="Tabell13441485576839097104111118125139146153160167174181188195202209216223230237244251258265272279286293300307314321328335342349356363" ref="A2:F4" totalsRowShown="0" headerRowDxfId="3980" dataDxfId="3979">
  <autoFilter ref="A2:F4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4D6A42B-0529-4304-A434-3924E5E3AD86}" name="DAG" dataDxfId="2120">
      <calculatedColumnFormula>PROPER(TEXT(B3, "dddd"))</calculatedColumnFormula>
    </tableColumn>
    <tableColumn id="2" xr3:uid="{EAF9098B-97F6-42C7-B116-64F234A461AD}" name="DATUM" dataDxfId="2118">
      <calculatedColumnFormula>Måndag9</calculatedColumnFormula>
    </tableColumn>
    <tableColumn id="3" xr3:uid="{F9805AFD-2D80-4EF7-8EE9-E418E61128F9}" name="Tid1" dataDxfId="2119"/>
    <tableColumn id="4" xr3:uid="{3EA208A5-8C1B-43FE-AA10-D1658C80AFC6}" name="TID" dataDxfId="3978"/>
    <tableColumn id="5" xr3:uid="{5C6C4F84-8DD6-4051-B948-3A1CF6D4F6F3}" name="ANTAL" dataDxfId="3977"/>
    <tableColumn id="6" xr3:uid="{FCF1F8D5-C37D-4A04-A388-7583E3F35C6A}" name="GRUPP/LAG/SKOLA/ETC." dataDxfId="3976"/>
  </tableColumns>
  <tableStyleInfo name="Hallbokningsschema 2" showFirstColumn="0" showLastColumn="0" showRowStripes="0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3" xr:uid="{AF1BBD39-D71A-42FB-A3D2-C4A2A0EEC401}" name="Tabell23542495677849198105112119126140147154161168175182189196203210217224231238245252259266273280287294301308315322329336343350357364" displayName="Tabell23542495677849198105112119126140147154161168175182189196203210217224231238245252259266273280287294301308315322329336343350357364" ref="A5:F11" totalsRowShown="0" headerRowDxfId="3975" dataDxfId="3974">
  <autoFilter ref="A5:F11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6:F11">
    <sortCondition ref="C6:C11"/>
  </sortState>
  <tableColumns count="6">
    <tableColumn id="1" xr3:uid="{CB7B2E90-1B6A-4862-B24F-13F44F709F14}" name="DAG" dataDxfId="2117">
      <calculatedColumnFormula>PROPER(TEXT(B6, "dddd"))</calculatedColumnFormula>
    </tableColumn>
    <tableColumn id="2" xr3:uid="{01AB3790-3651-4B86-93CE-8EC55915E5D5}" name="DATUM" dataDxfId="2115">
      <calculatedColumnFormula>Tisdag9</calculatedColumnFormula>
    </tableColumn>
    <tableColumn id="3" xr3:uid="{39AF6707-850E-4036-AD56-BF9394E47D4B}" name="Tid1" dataDxfId="2116"/>
    <tableColumn id="4" xr3:uid="{9FC63FC5-0833-4EF2-BB77-B95E04028240}" name="TID" dataDxfId="3973"/>
    <tableColumn id="5" xr3:uid="{4E4C42C0-E619-4614-9875-627C9C4B8727}" name="ANTAL" dataDxfId="3972"/>
    <tableColumn id="6" xr3:uid="{49212019-2652-41B2-99D5-3C8AC303682A}" name="GRUPP/LAG/SKOLA/ETC." dataDxfId="3971"/>
  </tableColumns>
  <tableStyleInfo name="Hallbokningsschema 2" showFirstColumn="0" showLastColumn="0" showRowStripes="0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4" xr:uid="{0253D1B5-639E-424F-B66A-EA0A28A757FD}" name="Tabell33643505778859299106113120127141148155162169176183190197204211218225232239246253260267274281288295302309316323330337344351358365" displayName="Tabell33643505778859299106113120127141148155162169176183190197204211218225232239246253260267274281288295302309316323330337344351358365" ref="A12:F19" totalsRowShown="0" headerRowDxfId="3970" dataDxfId="3969">
  <autoFilter ref="A12:F19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898C521-A2E9-4306-B506-FD2FC296C0E2}" name="DAG" dataDxfId="2114">
      <calculatedColumnFormula>PROPER(TEXT(B13, "dddd"))</calculatedColumnFormula>
    </tableColumn>
    <tableColumn id="2" xr3:uid="{FD451FF5-CE06-470E-90C7-99360766E09C}" name="DATUM" dataDxfId="2112">
      <calculatedColumnFormula>Onsdag9</calculatedColumnFormula>
    </tableColumn>
    <tableColumn id="3" xr3:uid="{EAC7C4A8-4625-44FF-A7DA-43B84B340EBC}" name="Tid1" dataDxfId="2113"/>
    <tableColumn id="4" xr3:uid="{8CA534EC-19CA-4840-8472-080318BB35D9}" name="TID" dataDxfId="3968"/>
    <tableColumn id="5" xr3:uid="{C64DFCB1-60A8-45C0-B734-3260A9ED6662}" name="ANTAL" dataDxfId="3967"/>
    <tableColumn id="6" xr3:uid="{F7D399C0-4495-4B5F-BC5C-11F386C3CF96}" name="GRUPP/LAG/SKOLA/ETC." dataDxfId="3966"/>
  </tableColumns>
  <tableStyleInfo name="Hallbokningsschema 2" showFirstColumn="0" showLastColumn="0" showRowStripes="0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5" xr:uid="{1DF7CBA9-003E-42E8-8FE8-AF1E8A1F0656}" name="Tabell437445158798693100107114121128142149156163170177184191198205212219226233240247254261268275282289296303310317324331338345352359366" displayName="Tabell437445158798693100107114121128142149156163170177184191198205212219226233240247254261268275282289296303310317324331338345352359366" ref="A20:F25" totalsRowShown="0" headerRowDxfId="3965" dataDxfId="3964">
  <autoFilter ref="A20:F25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1:F25">
    <sortCondition ref="C21:C25"/>
  </sortState>
  <tableColumns count="6">
    <tableColumn id="1" xr3:uid="{509897C6-AFA9-4A97-AA14-5532A7B60079}" name="DAG" dataDxfId="2111">
      <calculatedColumnFormula>PROPER(TEXT(B21, "dddd"))</calculatedColumnFormula>
    </tableColumn>
    <tableColumn id="2" xr3:uid="{1379235F-8CA0-4B84-AC7B-D10D5E5AB590}" name="DATUM" dataDxfId="2109">
      <calculatedColumnFormula>Torsdag9</calculatedColumnFormula>
    </tableColumn>
    <tableColumn id="3" xr3:uid="{BA90198A-D848-487F-9B8C-C18F47F5916E}" name="Tid1" dataDxfId="2110"/>
    <tableColumn id="4" xr3:uid="{F82DB236-653A-4162-A031-C5ECFC5DBFD8}" name="TID" dataDxfId="3963"/>
    <tableColumn id="5" xr3:uid="{0B710808-974D-4C6F-89BE-EDC797B34318}" name="ANTAL" dataDxfId="3962"/>
    <tableColumn id="6" xr3:uid="{C8A3B839-F74D-4DB8-B381-D3E2716FD837}" name="GRUPP/LAG/SKOLA/ETC." dataDxfId="3961"/>
  </tableColumns>
  <tableStyleInfo name="Hallbokningsschema 2" showFirstColumn="0" showLastColumn="0" showRowStripes="0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6" xr:uid="{7E972E68-ABC1-49E1-820C-E85D1EC1DEC9}" name="Tabell538455259808794101108115122129143150157164171178185192199206213220227234241248255262269276283290297304311318325332339346353360367" displayName="Tabell538455259808794101108115122129143150157164171178185192199206213220227234241248255262269276283290297304311318325332339346353360367" ref="A26:F30" totalsRowShown="0" headerRowDxfId="3960" dataDxfId="3959">
  <autoFilter ref="A26:F30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B9E914E-B084-4D69-A824-E794A47DAFBA}" name="DAG" dataDxfId="2108">
      <calculatedColumnFormula>PROPER(TEXT(B27, "dddd"))</calculatedColumnFormula>
    </tableColumn>
    <tableColumn id="2" xr3:uid="{78C92E66-44E5-4498-B632-8FD8F7EA7D92}" name="DATUM" dataDxfId="2106">
      <calculatedColumnFormula>Fredag9</calculatedColumnFormula>
    </tableColumn>
    <tableColumn id="3" xr3:uid="{BBEC2D20-2A11-437B-8727-8BF8E6AFAAB9}" name="Tid1" dataDxfId="2107"/>
    <tableColumn id="4" xr3:uid="{3D3E165A-1A01-435A-B6E0-92F880AD37DC}" name="TID" dataDxfId="3958"/>
    <tableColumn id="5" xr3:uid="{83975C28-F41A-41F7-8563-3A81F7F3D9F2}" name="ANTAL" dataDxfId="3957"/>
    <tableColumn id="6" xr3:uid="{98938B45-9219-4844-B252-6F74B4A94D8D}" name="GRUPP/LAG/SKOLA/ETC." dataDxfId="3956"/>
  </tableColumns>
  <tableStyleInfo name="Hallbokningsschema 2" showFirstColumn="0" showLastColumn="0" showRowStripes="0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7" xr:uid="{00C2A821-586D-4809-AF9F-71D2EA36198A}" name="Tabell639465360818895102109116123130144151158165172179186193200207214221228235242249256263270277284291298305312319326333340347354361368" displayName="Tabell639465360818895102109116123130144151158165172179186193200207214221228235242249256263270277284291298305312319326333340347354361368" ref="A31:F35" totalsRowShown="0" headerRowDxfId="3955" dataDxfId="3954">
  <autoFilter ref="A31:F35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2:F35">
    <sortCondition ref="C32:C35"/>
  </sortState>
  <tableColumns count="6">
    <tableColumn id="1" xr3:uid="{5124EDB9-5DAF-4068-A517-2D0E9FE51A1B}" name="DAG" dataDxfId="2105">
      <calculatedColumnFormula>PROPER(TEXT(B32, "dddd"))</calculatedColumnFormula>
    </tableColumn>
    <tableColumn id="2" xr3:uid="{2A0EE919-36D0-4A8C-A5F2-38B63D26975A}" name="DATUM" dataDxfId="2103">
      <calculatedColumnFormula>Lördag9</calculatedColumnFormula>
    </tableColumn>
    <tableColumn id="3" xr3:uid="{9E4A9635-B83B-473F-B057-135001AB11B4}" name="Tid1" dataDxfId="2104"/>
    <tableColumn id="4" xr3:uid="{1C3E004F-C9A2-4F75-92AD-9F18D69112B2}" name="TID" dataDxfId="3953"/>
    <tableColumn id="5" xr3:uid="{8072C067-7474-4128-ACAD-CF0D35041134}" name="ANTAL" dataDxfId="3952"/>
    <tableColumn id="6" xr3:uid="{424A82F4-1A45-4763-9D77-5AEC967D4677}" name="GRUPP/LAG/SKOLA/ETC." dataDxfId="3951"/>
  </tableColumns>
  <tableStyleInfo name="Hallbokningsschema 2" showFirstColumn="0" showLastColumn="0" showRowStripes="0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8" xr:uid="{1A61AE33-D687-4231-A2C4-D983C126CEB0}" name="Tabell740475461828996103110117124131145152159166173180187194201208215222229236243250257264271278285292299306313320327334341348355362369" displayName="Tabell740475461828996103110117124131145152159166173180187194201208215222229236243250257264271278285292299306313320327334341348355362369" ref="A36:F37" totalsRowShown="0" headerRowDxfId="3950" dataDxfId="3949">
  <autoFilter ref="A36:F37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22DC58A-DF89-49CA-B344-F7950CB63A7B}" name="DAG" dataDxfId="2102">
      <calculatedColumnFormula>PROPER(TEXT(B37, "dddd"))</calculatedColumnFormula>
    </tableColumn>
    <tableColumn id="2" xr3:uid="{293F9AE1-1B99-444C-8685-5A12F2896DA3}" name="DATUM" dataDxfId="2100">
      <calculatedColumnFormula>Söndag9</calculatedColumnFormula>
    </tableColumn>
    <tableColumn id="3" xr3:uid="{BD358EE6-8DF2-4D35-B3A0-E93D25047E8B}" name="Tid1" dataDxfId="2101"/>
    <tableColumn id="4" xr3:uid="{90B53967-A458-4E6F-83EC-9C18C2143214}" name="TID" dataDxfId="3948"/>
    <tableColumn id="5" xr3:uid="{70BCEEF9-C4E9-497D-BF91-7336271F0A2A}" name="ANTAL" dataDxfId="3947"/>
    <tableColumn id="6" xr3:uid="{43B58B6E-B3C6-4A21-A086-AD536E5A6BC7}" name="GRUPP/LAG/SKOLA/ETC." dataDxfId="3946"/>
  </tableColumns>
  <tableStyleInfo name="Hallbokningsschema 2" showFirstColumn="0" showLastColumn="0" showRowStripes="0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5" xr:uid="{3D1B6B54-F133-47FE-9E35-F7279C112F32}" name="Tabell13441485576839097104111118125139146153160167174181188195202209216223230237244251258265272279286293300307314321328335342349356" displayName="Tabell13441485576839097104111118125139146153160167174181188195202209216223230237244251258265272279286293300307314321328335342349356" ref="A2:F4" totalsRowShown="0" headerRowDxfId="3945" dataDxfId="3944">
  <autoFilter ref="A2:F4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BF6C758-F456-40CD-A9AC-5492380CFEF2}" name="DAG" dataDxfId="2099">
      <calculatedColumnFormula>PROPER(TEXT(B3, "dddd"))</calculatedColumnFormula>
    </tableColumn>
    <tableColumn id="2" xr3:uid="{811C393F-6CD0-46F0-BAE3-F0CEE23B000C}" name="DATUM" dataDxfId="2097">
      <calculatedColumnFormula>Måndag10</calculatedColumnFormula>
    </tableColumn>
    <tableColumn id="3" xr3:uid="{552641C7-6B9C-4674-B931-DCABE5A3FD7D}" name="Tid1" dataDxfId="2098"/>
    <tableColumn id="4" xr3:uid="{6AAA7915-A3CA-4B80-802D-289599230886}" name="TID" dataDxfId="3943"/>
    <tableColumn id="5" xr3:uid="{F71ACA41-9ACF-453C-A8D1-BF71D987576B}" name="ANTAL" dataDxfId="3942"/>
    <tableColumn id="6" xr3:uid="{3949A2B9-1D4C-4869-93BC-D05752FE1202}" name="GRUPP/LAG/SKOLA/ETC." dataDxfId="3941"/>
  </tableColumns>
  <tableStyleInfo name="Hallbokningsschema 2" showFirstColumn="0" showLastColumn="0" showRowStripes="0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6" xr:uid="{76C856C7-C682-4AC9-A123-07C39AD31EBF}" name="Tabell23542495677849198105112119126140147154161168175182189196203210217224231238245252259266273280287294301308315322329336343350357" displayName="Tabell23542495677849198105112119126140147154161168175182189196203210217224231238245252259266273280287294301308315322329336343350357" ref="A5:F12" totalsRowShown="0" headerRowDxfId="3940" dataDxfId="3939">
  <autoFilter ref="A5:F12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6:F12">
    <sortCondition ref="C6:C12"/>
  </sortState>
  <tableColumns count="6">
    <tableColumn id="1" xr3:uid="{A265B907-BA6F-485B-884A-103448693E15}" name="DAG" dataDxfId="2096">
      <calculatedColumnFormula>PROPER(TEXT(B6, "dddd"))</calculatedColumnFormula>
    </tableColumn>
    <tableColumn id="2" xr3:uid="{0AF2B38C-4D43-4CC2-8F2E-0D1D3BEEA223}" name="DATUM" dataDxfId="2094">
      <calculatedColumnFormula>Tisdag10</calculatedColumnFormula>
    </tableColumn>
    <tableColumn id="3" xr3:uid="{9C650B28-12B0-414E-9A10-DDC2E957604F}" name="Tid1" dataDxfId="2095"/>
    <tableColumn id="4" xr3:uid="{B22AB199-390A-43BD-8E3E-2CFDF048C43B}" name="TID" dataDxfId="3938"/>
    <tableColumn id="5" xr3:uid="{CEEF1343-6463-47C8-A753-F2BF406B4131}" name="ANTAL" dataDxfId="3937"/>
    <tableColumn id="6" xr3:uid="{218EF686-10F8-467A-B01A-0A522EC3ED97}" name="GRUPP/LAG/SKOLA/ETC." dataDxfId="3936"/>
  </tableColumns>
  <tableStyleInfo name="Hallbokningsschema 2" showFirstColumn="0" showLastColumn="0" showRowStripes="0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7" xr:uid="{24A78015-1970-4E7A-B3C4-7DDCD5182CAE}" name="Tabell33643505778859299106113120127141148155162169176183190197204211218225232239246253260267274281288295302309316323330337344351358" displayName="Tabell33643505778859299106113120127141148155162169176183190197204211218225232239246253260267274281288295302309316323330337344351358" ref="A13:F20" totalsRowShown="0" headerRowDxfId="3935" dataDxfId="3934">
  <autoFilter ref="A13:F20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966B071-CCF4-48B5-96F6-4B44FBAD2C7A}" name="DAG" dataDxfId="2093">
      <calculatedColumnFormula>PROPER(TEXT(B14, "dddd"))</calculatedColumnFormula>
    </tableColumn>
    <tableColumn id="2" xr3:uid="{78DB017F-1435-43B5-BFAF-62DB54474E42}" name="DATUM" dataDxfId="2091">
      <calculatedColumnFormula>Onsdag10</calculatedColumnFormula>
    </tableColumn>
    <tableColumn id="3" xr3:uid="{394E5298-57D2-493B-B1D7-08EF1E3EB074}" name="Tid1" dataDxfId="2092"/>
    <tableColumn id="4" xr3:uid="{29C81CC3-3DE5-4266-A09B-801927F808D2}" name="TID" dataDxfId="3933"/>
    <tableColumn id="5" xr3:uid="{B8981D90-4DC6-423D-8C10-A22E77A6E3AC}" name="ANTAL" dataDxfId="3932"/>
    <tableColumn id="6" xr3:uid="{40F38D98-24E7-4049-86C9-1D272DE8380B}" name="GRUPP/LAG/SKOLA/ETC." dataDxfId="3931"/>
  </tableColumns>
  <tableStyleInfo name="Hallbokningsschema 2" showFirstColumn="0" showLastColumn="0" showRowStripes="0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8" xr:uid="{840A9044-E137-4507-8FBB-EA6A7E1EDDD4}" name="Tabell437445158798693100107114121128142149156163170177184191198205212219226233240247254261268275282289296303310317324331338345352359" displayName="Tabell437445158798693100107114121128142149156163170177184191198205212219226233240247254261268275282289296303310317324331338345352359" ref="A21:F26" totalsRowShown="0" headerRowDxfId="3930" dataDxfId="3929">
  <autoFilter ref="A21:F26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60F0EF7-D3A2-4099-80B2-DFB39B1088DD}" name="DAG" dataDxfId="2090">
      <calculatedColumnFormula>PROPER(TEXT(B22, "dddd"))</calculatedColumnFormula>
    </tableColumn>
    <tableColumn id="2" xr3:uid="{C9E2835A-06A3-4055-B06C-D7515DDC52FC}" name="DATUM" dataDxfId="2088">
      <calculatedColumnFormula>Torsdag10</calculatedColumnFormula>
    </tableColumn>
    <tableColumn id="3" xr3:uid="{B0C5BB58-92D5-4314-AB2A-DB44C7FC4D60}" name="Tid1" dataDxfId="2089"/>
    <tableColumn id="4" xr3:uid="{95513C02-9AD6-4A63-BBDE-EA60D05ED9A3}" name="TID" dataDxfId="3928"/>
    <tableColumn id="5" xr3:uid="{72BE38FB-B4EC-4C21-8996-3C8C1314AAD6}" name="ANTAL" dataDxfId="3927"/>
    <tableColumn id="6" xr3:uid="{C9057F84-B14C-41FC-9168-0667D4200682}" name="GRUPP/LAG/SKOLA/ETC." dataDxfId="3926"/>
  </tableColumns>
  <tableStyleInfo name="Hallbokningsschema 2" showFirstColumn="0" showLastColumn="0" showRowStripes="0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9" xr:uid="{3FE8A5FC-15F6-418B-BF3E-50013326741E}" name="Tabell538455259808794101108115122129143150157164171178185192199206213220227234241248255262269276283290297304311318325332339346353360" displayName="Tabell538455259808794101108115122129143150157164171178185192199206213220227234241248255262269276283290297304311318325332339346353360" ref="A27:F32" totalsRowShown="0" headerRowDxfId="3925" dataDxfId="3924">
  <autoFilter ref="A27:F32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CE7652E-90EF-47FF-B79D-3FFB82ED3F6C}" name="DAG" dataDxfId="2087">
      <calculatedColumnFormula>PROPER(TEXT(B28, "dddd"))</calculatedColumnFormula>
    </tableColumn>
    <tableColumn id="2" xr3:uid="{C02EC618-1697-4D16-9487-82B87C273F74}" name="DATUM" dataDxfId="2085">
      <calculatedColumnFormula>Fredag10</calculatedColumnFormula>
    </tableColumn>
    <tableColumn id="3" xr3:uid="{D609FBA7-0515-4F00-823D-275C6D4C8B28}" name="Tid1" dataDxfId="2086"/>
    <tableColumn id="4" xr3:uid="{126F3BBE-B05C-4DD5-B00D-0CF4D3F71538}" name="TID" dataDxfId="3923"/>
    <tableColumn id="5" xr3:uid="{E397F4A8-494A-4C94-B374-D018FFEF6203}" name="ANTAL" dataDxfId="3922"/>
    <tableColumn id="6" xr3:uid="{3D00CC21-EF04-4F23-8FAB-96D3B3BCFD33}" name="GRUPP/LAG/SKOLA/ETC." dataDxfId="3921"/>
  </tableColumns>
  <tableStyleInfo name="Hallbokningsschema 2" showFirstColumn="0" showLastColumn="0" showRowStripes="0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0" xr:uid="{C87FCD3F-A835-4EDE-BCE0-93CBFDC7AF7A}" name="Tabell639465360818895102109116123130144151158165172179186193200207214221228235242249256263270277284291298305312319326333340347354361" displayName="Tabell639465360818895102109116123130144151158165172179186193200207214221228235242249256263270277284291298305312319326333340347354361" ref="A33:F34" totalsRowShown="0" headerRowDxfId="3920" dataDxfId="3919">
  <autoFilter ref="A33:F34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2439877-4319-43F5-A43D-360068F1EFDB}" name="DAG" dataDxfId="2084">
      <calculatedColumnFormula>PROPER(TEXT(B34, "dddd"))</calculatedColumnFormula>
    </tableColumn>
    <tableColumn id="2" xr3:uid="{7A67FE45-1AA8-444D-BEB0-57C77E6AC41C}" name="DATUM" dataDxfId="2082">
      <calculatedColumnFormula>Lördag10</calculatedColumnFormula>
    </tableColumn>
    <tableColumn id="3" xr3:uid="{CB5D36CD-E894-4776-B02E-6FA3F3E013FD}" name="Tid1" dataDxfId="2083"/>
    <tableColumn id="4" xr3:uid="{3EA0030A-A401-49A5-8DE5-E0F9BB03E7AF}" name="TID" dataDxfId="3918"/>
    <tableColumn id="5" xr3:uid="{BEA9ED9D-C340-49D1-AD12-23F9017D22D8}" name="ANTAL" dataDxfId="3917"/>
    <tableColumn id="6" xr3:uid="{60FA84F5-0D5B-44B0-BD4D-5C866941D3B6}" name="GRUPP/LAG/SKOLA/ETC." dataDxfId="3916"/>
  </tableColumns>
  <tableStyleInfo name="Hallbokningsschema 2" showFirstColumn="0" showLastColumn="0" showRowStripes="0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1" xr:uid="{B1F436D8-BCC2-4B79-AC86-6320956AF5DB}" name="Tabell740475461828996103110117124131145152159166173180187194201208215222229236243250257264271278285292299306313320327334341348355362" displayName="Tabell740475461828996103110117124131145152159166173180187194201208215222229236243250257264271278285292299306313320327334341348355362" ref="A35:F36" totalsRowShown="0" headerRowDxfId="3915" dataDxfId="3914">
  <autoFilter ref="A35:F36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EB4060B-0BE6-49C6-B019-5642B19801D1}" name="DAG" dataDxfId="2081">
      <calculatedColumnFormula>PROPER(TEXT(B36, "dddd"))</calculatedColumnFormula>
    </tableColumn>
    <tableColumn id="2" xr3:uid="{AE257D0A-B510-4A0D-BDE2-90D7FBD5C919}" name="DATUM" dataDxfId="2079">
      <calculatedColumnFormula>Söndag10</calculatedColumnFormula>
    </tableColumn>
    <tableColumn id="3" xr3:uid="{5D15387D-55E6-4C76-B7C4-FEB723F9CA6D}" name="Tid1" dataDxfId="2080"/>
    <tableColumn id="4" xr3:uid="{C4280492-0B50-4597-A2BC-FC5779BD3679}" name="TID" dataDxfId="3913"/>
    <tableColumn id="5" xr3:uid="{7A43C49A-1A4F-4BAD-A1D9-8A9224E167FC}" name="ANTAL" dataDxfId="3912"/>
    <tableColumn id="6" xr3:uid="{165D5EC0-28E7-467E-86DC-A79ADEACA0D7}" name="GRUPP/LAG/SKOLA/ETC." dataDxfId="3911"/>
  </tableColumns>
  <tableStyleInfo name="Hallbokningsschema 2" showFirstColumn="0" showLastColumn="0" showRowStripes="0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8" xr:uid="{EE5F4925-44CA-4EB2-9746-3798C1730BD2}" name="Tabell13441485576839097104111118125139146153160167174181188195202209216223230237244251258265272279286293300307314321328335342349" displayName="Tabell13441485576839097104111118125139146153160167174181188195202209216223230237244251258265272279286293300307314321328335342349" ref="A2:F5" totalsRowShown="0" headerRowDxfId="3910" dataDxfId="3909">
  <autoFilter ref="A2:F5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A4B85AF-3D44-4631-85C3-DD65152BBEB8}" name="DAG" dataDxfId="2078">
      <calculatedColumnFormula>PROPER(TEXT(B3, "dddd"))</calculatedColumnFormula>
    </tableColumn>
    <tableColumn id="2" xr3:uid="{E031645C-5688-472A-8EBB-AD8438D33028}" name="DATUM" dataDxfId="2076">
      <calculatedColumnFormula>Måndag11</calculatedColumnFormula>
    </tableColumn>
    <tableColumn id="3" xr3:uid="{D9CF62CF-7251-47C7-84EB-E5D2B0ECAEBE}" name="Tid1" dataDxfId="2077"/>
    <tableColumn id="4" xr3:uid="{30961911-8FDC-44E8-A4D2-F6A9DE642CC6}" name="TID" dataDxfId="3908"/>
    <tableColumn id="5" xr3:uid="{58977338-1A5D-440F-B426-DC4B87D54C8B}" name="ANTAL" dataDxfId="3907"/>
    <tableColumn id="6" xr3:uid="{17BD68C2-48D9-4236-A16A-209FA9416F4D}" name="GRUPP/LAG/SKOLA/ETC." dataDxfId="3906"/>
  </tableColumns>
  <tableStyleInfo name="Hallbokningsschema 2" showFirstColumn="0" showLastColumn="0" showRowStripes="0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9" xr:uid="{5FA5591D-61A1-4301-B3E5-C8860571CF23}" name="Tabell23542495677849198105112119126140147154161168175182189196203210217224231238245252259266273280287294301308315322329336343350" displayName="Tabell23542495677849198105112119126140147154161168175182189196203210217224231238245252259266273280287294301308315322329336343350" ref="A6:F12" totalsRowShown="0" headerRowDxfId="3905" dataDxfId="3904">
  <autoFilter ref="A6:F12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3703C35-2B39-4D86-A9C6-37F42E22823D}" name="DAG" dataDxfId="2075">
      <calculatedColumnFormula>PROPER(TEXT(B7, "dddd"))</calculatedColumnFormula>
    </tableColumn>
    <tableColumn id="2" xr3:uid="{3D46B6AE-0E07-4971-9428-96A2E6FA7720}" name="DATUM" dataDxfId="2073">
      <calculatedColumnFormula>Tisdag11</calculatedColumnFormula>
    </tableColumn>
    <tableColumn id="3" xr3:uid="{73D834E9-831B-41E7-8F8A-6FB5352BE51B}" name="Tid1" dataDxfId="2074"/>
    <tableColumn id="4" xr3:uid="{1B3704E0-DA43-4A6A-87F8-C03BFE43DF6C}" name="TID" dataDxfId="3903"/>
    <tableColumn id="5" xr3:uid="{CA85DE22-327F-4C6E-B129-E537BDA1C1BB}" name="ANTAL" dataDxfId="3902"/>
    <tableColumn id="6" xr3:uid="{9D0E1AF3-1AEC-4B9C-91A4-1763051352D9}" name="GRUPP/LAG/SKOLA/ETC." dataDxfId="3901"/>
  </tableColumns>
  <tableStyleInfo name="Hallbokningsschema 2" showFirstColumn="0" showLastColumn="0" showRowStripes="0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0" xr:uid="{C3634766-274D-4EAF-B07D-7EC818474ED0}" name="Tabell33643505778859299106113120127141148155162169176183190197204211218225232239246253260267274281288295302309316323330337344351" displayName="Tabell33643505778859299106113120127141148155162169176183190197204211218225232239246253260267274281288295302309316323330337344351" ref="A13:F20" totalsRowShown="0" headerRowDxfId="3900" dataDxfId="3899">
  <autoFilter ref="A13:F20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4:F20">
    <sortCondition ref="C14:C20"/>
  </sortState>
  <tableColumns count="6">
    <tableColumn id="1" xr3:uid="{991D104F-EAE4-4260-8146-6AAD5F95F597}" name="DAG" dataDxfId="2072">
      <calculatedColumnFormula>PROPER(TEXT(B14, "dddd"))</calculatedColumnFormula>
    </tableColumn>
    <tableColumn id="2" xr3:uid="{28CDDC16-43FD-4E40-A489-FF5ABA0CEA94}" name="DATUM" dataDxfId="2070">
      <calculatedColumnFormula>Onsdag11</calculatedColumnFormula>
    </tableColumn>
    <tableColumn id="3" xr3:uid="{5F8DD7BC-DCE1-4373-81C9-7038F624C66A}" name="Tid1" dataDxfId="2071"/>
    <tableColumn id="4" xr3:uid="{CEF0D778-E623-4B98-A782-807F93432D50}" name="TID" dataDxfId="3898"/>
    <tableColumn id="5" xr3:uid="{70B6EBF9-A8B9-4FA6-AA5A-BB617CCE75F0}" name="ANTAL" dataDxfId="3897"/>
    <tableColumn id="6" xr3:uid="{72C44C30-EFB7-4EA4-81C8-3207E13522A0}" name="GRUPP/LAG/SKOLA/ETC." dataDxfId="3896"/>
  </tableColumns>
  <tableStyleInfo name="Hallbokningsschema 2" showFirstColumn="0" showLastColumn="0" showRowStripes="0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1" xr:uid="{5B919B94-37B6-45E9-B573-A16B6E00CBB8}" name="Tabell437445158798693100107114121128142149156163170177184191198205212219226233240247254261268275282289296303310317324331338345352" displayName="Tabell437445158798693100107114121128142149156163170177184191198205212219226233240247254261268275282289296303310317324331338345352" ref="A21:F26" totalsRowShown="0" headerRowDxfId="3895" dataDxfId="3894">
  <autoFilter ref="A21:F26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149673E-DF10-4B5E-A3FB-E52FED453471}" name="DAG" dataDxfId="2069">
      <calculatedColumnFormula>PROPER(TEXT(B22, "dddd"))</calculatedColumnFormula>
    </tableColumn>
    <tableColumn id="2" xr3:uid="{D0C73C0C-AA41-4E57-ABDD-9B7BC304295D}" name="DATUM" dataDxfId="2067">
      <calculatedColumnFormula>Torsdag11</calculatedColumnFormula>
    </tableColumn>
    <tableColumn id="3" xr3:uid="{DA4E874E-54B3-42CF-902C-41CD04C80826}" name="Tid1" dataDxfId="2068"/>
    <tableColumn id="4" xr3:uid="{3B85D86F-1252-4F81-91DD-2E4C755E3F82}" name="TID" dataDxfId="3893"/>
    <tableColumn id="5" xr3:uid="{93E0FF86-94B6-4A90-9041-DD1C91D1C660}" name="ANTAL" dataDxfId="3892"/>
    <tableColumn id="6" xr3:uid="{9F2D301C-B41C-4D77-A1EF-10FE00664B38}" name="GRUPP/LAG/SKOLA/ETC." dataDxfId="3891"/>
  </tableColumns>
  <tableStyleInfo name="Hallbokningsschema 2" showFirstColumn="0" showLastColumn="0" showRowStripes="0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2" xr:uid="{50B039FD-BA40-4737-8DA8-EBA37BD199E9}" name="Tabell538455259808794101108115122129143150157164171178185192199206213220227234241248255262269276283290297304311318325332339346353" displayName="Tabell538455259808794101108115122129143150157164171178185192199206213220227234241248255262269276283290297304311318325332339346353" ref="A27:F31" totalsRowShown="0" headerRowDxfId="3890" dataDxfId="3889">
  <autoFilter ref="A27:F3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A652B8A-9701-4426-A905-18D8EB24BFAF}" name="DAG" dataDxfId="2066">
      <calculatedColumnFormula>PROPER(TEXT(B28, "dddd"))</calculatedColumnFormula>
    </tableColumn>
    <tableColumn id="2" xr3:uid="{2AA496EE-AF44-4C9A-80FD-6F4A9ABDFAFD}" name="DATUM" dataDxfId="2064">
      <calculatedColumnFormula>Fredag11</calculatedColumnFormula>
    </tableColumn>
    <tableColumn id="3" xr3:uid="{2C1C982D-BC49-4539-BE5E-AADA28D06BE1}" name="Tid1" dataDxfId="2065"/>
    <tableColumn id="4" xr3:uid="{288A0BD0-4790-4BB6-B5E8-FE761975E197}" name="TID" dataDxfId="3888"/>
    <tableColumn id="5" xr3:uid="{C662CF19-AFE8-4E5A-BE61-971CF413BDDD}" name="ANTAL" dataDxfId="3887"/>
    <tableColumn id="6" xr3:uid="{08E1B8D9-8DC6-47EB-9CC3-6DD21EF8B739}" name="GRUPP/LAG/SKOLA/ETC." dataDxfId="3886"/>
  </tableColumns>
  <tableStyleInfo name="Hallbokningsschema 2" showFirstColumn="0" showLastColumn="0" showRowStripes="0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3" xr:uid="{AEFA32A6-524C-4630-B1E6-AFBE735E630C}" name="Tabell639465360818895102109116123130144151158165172179186193200207214221228235242249256263270277284291298305312319326333340347354" displayName="Tabell639465360818895102109116123130144151158165172179186193200207214221228235242249256263270277284291298305312319326333340347354" ref="A32:F35" totalsRowShown="0" headerRowDxfId="3885" dataDxfId="3884">
  <autoFilter ref="A32:F35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ADE53C5-08E5-4C41-AE2F-223904754894}" name="DAG" dataDxfId="2063">
      <calculatedColumnFormula>PROPER(TEXT(B33, "dddd"))</calculatedColumnFormula>
    </tableColumn>
    <tableColumn id="2" xr3:uid="{ACB0F841-274D-4073-8183-5DC58706D583}" name="DATUM" dataDxfId="2061">
      <calculatedColumnFormula>Lördag11</calculatedColumnFormula>
    </tableColumn>
    <tableColumn id="3" xr3:uid="{054E6FCA-2315-4CBF-8E5A-F7A33424A1CC}" name="Tid1" dataDxfId="2062"/>
    <tableColumn id="4" xr3:uid="{B75C8D84-695D-44D9-B697-2EE8560972A6}" name="TID" dataDxfId="3883"/>
    <tableColumn id="5" xr3:uid="{4A4448AF-0EFD-4215-9FE3-BCFA0B80FED0}" name="ANTAL" dataDxfId="3882"/>
    <tableColumn id="6" xr3:uid="{EE7CC517-2A53-4EA3-A34B-8B24393C0B32}" name="GRUPP/LAG/SKOLA/ETC." dataDxfId="3881"/>
  </tableColumns>
  <tableStyleInfo name="Hallbokningsschema 2" showFirstColumn="0" showLastColumn="0" showRowStripes="0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4" xr:uid="{004C3142-65AF-40FD-92A0-50359CECB0AB}" name="Tabell740475461828996103110117124131145152159166173180187194201208215222229236243250257264271278285292299306313320327334341348355" displayName="Tabell740475461828996103110117124131145152159166173180187194201208215222229236243250257264271278285292299306313320327334341348355" ref="A36:F37" totalsRowShown="0" headerRowDxfId="3880" dataDxfId="3879">
  <autoFilter ref="A36:F37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D6C64D4-443F-432D-9842-22DF38393326}" name="DAG" dataDxfId="2060">
      <calculatedColumnFormula>PROPER(TEXT(B37, "dddd"))</calculatedColumnFormula>
    </tableColumn>
    <tableColumn id="2" xr3:uid="{949C1BA4-A83B-431A-AE35-3328A9E8FC60}" name="DATUM" dataDxfId="2058">
      <calculatedColumnFormula>Söndag11</calculatedColumnFormula>
    </tableColumn>
    <tableColumn id="3" xr3:uid="{B3585F8C-F3E3-46E9-8A5E-BA25CDBBE10A}" name="Tid1" dataDxfId="2059"/>
    <tableColumn id="4" xr3:uid="{140C2774-4EF2-44D0-ACD0-578B5C8AEEE4}" name="TID" dataDxfId="3878"/>
    <tableColumn id="5" xr3:uid="{6FA0B435-302E-4292-8CFB-D6C21C09FF26}" name="ANTAL" dataDxfId="3877"/>
    <tableColumn id="6" xr3:uid="{9471CAE4-0ABD-4B8D-910C-D30799396E0A}" name="GRUPP/LAG/SKOLA/ETC." dataDxfId="3876"/>
  </tableColumns>
  <tableStyleInfo name="Hallbokningsschema 2" showFirstColumn="0" showLastColumn="0" showRowStripes="0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1" xr:uid="{4C0AD66D-87F6-4240-ACC4-548E912C7E2E}" name="Tabell13441485576839097104111118125139146153160167174181188195202209216223230237244251258265272279286293300307314321328335342" displayName="Tabell13441485576839097104111118125139146153160167174181188195202209216223230237244251258265272279286293300307314321328335342" ref="A2:F4" totalsRowShown="0" headerRowDxfId="3875" dataDxfId="3874">
  <autoFilter ref="A2:F4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4">
    <sortCondition ref="C3:C4"/>
  </sortState>
  <tableColumns count="6">
    <tableColumn id="1" xr3:uid="{BDC72297-73B8-497F-A5C6-6B1C3383AFA6}" name="DAG" dataDxfId="2057">
      <calculatedColumnFormula>PROPER(TEXT(B3, "dddd"))</calculatedColumnFormula>
    </tableColumn>
    <tableColumn id="2" xr3:uid="{657CC6E3-06CF-42A6-B1BC-E50674894D39}" name="DATUM" dataDxfId="2055">
      <calculatedColumnFormula>Måndag12</calculatedColumnFormula>
    </tableColumn>
    <tableColumn id="3" xr3:uid="{80A27200-5486-4927-AEE5-3BC409945222}" name="Tid1" dataDxfId="2056"/>
    <tableColumn id="4" xr3:uid="{C5FCB9EF-AFFC-4F9B-8236-02A9976608AE}" name="TID" dataDxfId="3873"/>
    <tableColumn id="5" xr3:uid="{5F652330-5598-46AF-9162-21315A6EDF5F}" name="ANTAL" dataDxfId="3872"/>
    <tableColumn id="6" xr3:uid="{EB30C941-EC4D-4673-A3F9-3040FBDE85F7}" name="GRUPP/LAG/SKOLA/ETC." dataDxfId="3871"/>
  </tableColumns>
  <tableStyleInfo name="Hallbokningsschema 2" showFirstColumn="0" showLastColumn="0" showRowStripes="0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2" xr:uid="{F31C5545-574B-4080-BC2C-425A32DAE323}" name="Tabell23542495677849198105112119126140147154161168175182189196203210217224231238245252259266273280287294301308315322329336343" displayName="Tabell23542495677849198105112119126140147154161168175182189196203210217224231238245252259266273280287294301308315322329336343" ref="A5:F10" totalsRowShown="0" headerRowDxfId="3870" dataDxfId="3869">
  <autoFilter ref="A5:F10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36C08DE-D9CD-4D87-9490-F33C54C7BAAA}" name="DAG" dataDxfId="2054">
      <calculatedColumnFormula>PROPER(TEXT(B6, "dddd"))</calculatedColumnFormula>
    </tableColumn>
    <tableColumn id="2" xr3:uid="{98D5F387-7EED-48A6-8E75-3340600E696B}" name="DATUM" dataDxfId="2052">
      <calculatedColumnFormula>Tisdag12</calculatedColumnFormula>
    </tableColumn>
    <tableColumn id="3" xr3:uid="{37B3A7E5-CBA7-4356-98D3-86117E82AB1C}" name="Tid1" dataDxfId="2053"/>
    <tableColumn id="4" xr3:uid="{596BD7EF-806A-48C3-9A9E-25709055B5E5}" name="TID" dataDxfId="3868"/>
    <tableColumn id="5" xr3:uid="{6B42A157-BC32-4966-9339-80CCDA871413}" name="ANTAL" dataDxfId="3867"/>
    <tableColumn id="6" xr3:uid="{6BF1B385-D12D-4478-A084-61613D442D87}" name="GRUPP/LAG/SKOLA/ETC." dataDxfId="3866"/>
  </tableColumns>
  <tableStyleInfo name="Hallbokningsschema 2" showFirstColumn="0" showLastColumn="0" showRowStripes="0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3" xr:uid="{46F4A90F-57A3-43DB-B38E-BE346C9FBFE3}" name="Tabell33643505778859299106113120127141148155162169176183190197204211218225232239246253260267274281288295302309316323330337344" displayName="Tabell33643505778859299106113120127141148155162169176183190197204211218225232239246253260267274281288295302309316323330337344" ref="A11:F18" totalsRowShown="0" headerRowDxfId="3865" dataDxfId="3864">
  <autoFilter ref="A11:F18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2:F18">
    <sortCondition ref="C12:C18"/>
  </sortState>
  <tableColumns count="6">
    <tableColumn id="1" xr3:uid="{9E0768D9-1DF0-4EC4-B5AA-41C2C3677383}" name="DAG" dataDxfId="2051">
      <calculatedColumnFormula>PROPER(TEXT(B12, "dddd"))</calculatedColumnFormula>
    </tableColumn>
    <tableColumn id="2" xr3:uid="{43A87095-72DD-4AE9-A323-B50C3F59A5A3}" name="DATUM" dataDxfId="2049">
      <calculatedColumnFormula>Onsdag12</calculatedColumnFormula>
    </tableColumn>
    <tableColumn id="3" xr3:uid="{B20E1A50-F88F-48E1-8EE1-62FC89188BB0}" name="Tid1" dataDxfId="2050"/>
    <tableColumn id="4" xr3:uid="{55EA548F-971A-4E86-BC5B-80F5B5809F59}" name="TID" dataDxfId="3863"/>
    <tableColumn id="5" xr3:uid="{202B05D9-2EDE-410A-9D38-E803B30B021A}" name="ANTAL" dataDxfId="3862"/>
    <tableColumn id="6" xr3:uid="{326C2B7E-0FF5-4F73-9CBC-6D7402A94731}" name="GRUPP/LAG/SKOLA/ETC." dataDxfId="3861"/>
  </tableColumns>
  <tableStyleInfo name="Hallbokningsschema 2" showFirstColumn="0" showLastColumn="0" showRowStripes="0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4" xr:uid="{DF79B003-1825-4454-880A-EA0EC0E65F90}" name="Tabell437445158798693100107114121128142149156163170177184191198205212219226233240247254261268275282289296303310317324331338345" displayName="Tabell437445158798693100107114121128142149156163170177184191198205212219226233240247254261268275282289296303310317324331338345" ref="A19:F24" totalsRowShown="0" headerRowDxfId="3860" dataDxfId="3859">
  <autoFilter ref="A19:F24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0:F24">
    <sortCondition ref="C20:C24"/>
  </sortState>
  <tableColumns count="6">
    <tableColumn id="1" xr3:uid="{9771F5E0-A40A-4EA9-8B94-21662B02E1E9}" name="DAG" dataDxfId="2048">
      <calculatedColumnFormula>PROPER(TEXT(B20, "dddd"))</calculatedColumnFormula>
    </tableColumn>
    <tableColumn id="2" xr3:uid="{D1F4BB65-FC59-4F2C-B4D5-47C788E042E8}" name="DATUM" dataDxfId="2046">
      <calculatedColumnFormula>Torsdag12</calculatedColumnFormula>
    </tableColumn>
    <tableColumn id="3" xr3:uid="{CC7E195A-29A1-4B6A-8C4D-09C91F46F658}" name="Tid1" dataDxfId="2047"/>
    <tableColumn id="4" xr3:uid="{542E2B67-FF2B-413D-885E-F5C03C5B67B4}" name="TID" dataDxfId="3858"/>
    <tableColumn id="5" xr3:uid="{0F3A19D4-2E8B-41F1-BFEE-66BD518741A5}" name="ANTAL" dataDxfId="3857"/>
    <tableColumn id="6" xr3:uid="{7A01DB36-A49C-4D84-923F-CACEA1E591FD}" name="GRUPP/LAG/SKOLA/ETC." dataDxfId="3856"/>
  </tableColumns>
  <tableStyleInfo name="Hallbokningsschema 2" showFirstColumn="0" showLastColumn="0" showRowStripes="0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5" xr:uid="{0A5CD08C-B646-491A-9BB1-F84D0DCAF968}" name="Tabell538455259808794101108115122129143150157164171178185192199206213220227234241248255262269276283290297304311318325332339346" displayName="Tabell538455259808794101108115122129143150157164171178185192199206213220227234241248255262269276283290297304311318325332339346" ref="A25:F29" totalsRowShown="0" headerRowDxfId="3855" dataDxfId="3854">
  <autoFilter ref="A25:F29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47E410C-1358-4808-9760-F44090F13AAE}" name="DAG" dataDxfId="2045">
      <calculatedColumnFormula>PROPER(TEXT(B26, "dddd"))</calculatedColumnFormula>
    </tableColumn>
    <tableColumn id="2" xr3:uid="{81109CF1-56FB-4496-940F-CCC3BB111F02}" name="DATUM" dataDxfId="2043">
      <calculatedColumnFormula>Fredag12</calculatedColumnFormula>
    </tableColumn>
    <tableColumn id="3" xr3:uid="{5701508E-87A2-4273-B4B1-516063E8455C}" name="Tid1" dataDxfId="2044"/>
    <tableColumn id="4" xr3:uid="{9047EF7E-A9E1-412B-A54B-672ECE5E3BE8}" name="TID" dataDxfId="3853"/>
    <tableColumn id="5" xr3:uid="{AC6C3466-D58A-4265-9413-2BD1A6FA5C9F}" name="ANTAL" dataDxfId="3852"/>
    <tableColumn id="6" xr3:uid="{7BD295A9-85B7-4381-9560-8CC711CE0090}" name="GRUPP/LAG/SKOLA/ETC." dataDxfId="3851"/>
  </tableColumns>
  <tableStyleInfo name="Hallbokningsschema 2" showFirstColumn="0" showLastColumn="0" showRowStripes="0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6" xr:uid="{796C2640-725C-47BF-9A4C-73FC05D4B8F5}" name="Tabell639465360818895102109116123130144151158165172179186193200207214221228235242249256263270277284291298305312319326333340347" displayName="Tabell639465360818895102109116123130144151158165172179186193200207214221228235242249256263270277284291298305312319326333340347" ref="A30:F34" totalsRowShown="0" headerRowDxfId="3850" dataDxfId="3849">
  <autoFilter ref="A30:F34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1:F34">
    <sortCondition ref="C31:C34"/>
  </sortState>
  <tableColumns count="6">
    <tableColumn id="1" xr3:uid="{1C5CCF04-A313-4A33-BE75-C1CE4C3BCC4B}" name="DAG" dataDxfId="2042">
      <calculatedColumnFormula>PROPER(TEXT(B31, "dddd"))</calculatedColumnFormula>
    </tableColumn>
    <tableColumn id="2" xr3:uid="{B026716F-1EC8-46B0-B8E9-B9D33A84B2F2}" name="DATUM" dataDxfId="2040">
      <calculatedColumnFormula>Lördag12</calculatedColumnFormula>
    </tableColumn>
    <tableColumn id="3" xr3:uid="{F5033B1E-CFA3-41C1-B1FA-45787300D4C0}" name="Tid1" dataDxfId="2041"/>
    <tableColumn id="4" xr3:uid="{7E02179E-1D33-4A3E-8C0D-C171F51253CE}" name="TID" dataDxfId="3848"/>
    <tableColumn id="5" xr3:uid="{D3C1AA7E-A95F-49AD-88B8-0EDCB0200314}" name="ANTAL" dataDxfId="3847"/>
    <tableColumn id="6" xr3:uid="{C3AD47F0-89F1-42D1-A90B-AC4F0CE87B0D}" name="GRUPP/LAG/SKOLA/ETC." dataDxfId="3846"/>
  </tableColumns>
  <tableStyleInfo name="Hallbokningsschema 2" showFirstColumn="0" showLastColumn="0" showRowStripes="0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7" xr:uid="{DD901006-E667-4830-972D-208ACCE8DA93}" name="Tabell740475461828996103110117124131145152159166173180187194201208215222229236243250257264271278285292299306313320327334341348" displayName="Tabell740475461828996103110117124131145152159166173180187194201208215222229236243250257264271278285292299306313320327334341348" ref="A35:F37" totalsRowShown="0" headerRowDxfId="3845" dataDxfId="3844">
  <autoFilter ref="A35:F37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6:F37">
    <sortCondition ref="C36:C37"/>
  </sortState>
  <tableColumns count="6">
    <tableColumn id="1" xr3:uid="{66D663C9-6C5B-45D7-A034-4C894B5470B8}" name="DAG" dataDxfId="2039">
      <calculatedColumnFormula>PROPER(TEXT(B36, "dddd"))</calculatedColumnFormula>
    </tableColumn>
    <tableColumn id="2" xr3:uid="{0990F3B2-63D1-4C94-8A0D-19AC2E44AA81}" name="DATUM" dataDxfId="2037">
      <calculatedColumnFormula>Söndag12</calculatedColumnFormula>
    </tableColumn>
    <tableColumn id="3" xr3:uid="{F062AAE1-27C3-4AB9-9B43-D53075DCEA71}" name="Tid1" dataDxfId="2038"/>
    <tableColumn id="4" xr3:uid="{85650E31-1C90-449C-9A2E-10C987D2A0B0}" name="TID" dataDxfId="3843"/>
    <tableColumn id="5" xr3:uid="{5D7F8AC2-DA23-4270-B7DE-112C88122469}" name="ANTAL" dataDxfId="3842"/>
    <tableColumn id="6" xr3:uid="{CF4056FA-A1E8-468A-B576-F0830287F62F}" name="GRUPP/LAG/SKOLA/ETC." dataDxfId="3841"/>
  </tableColumns>
  <tableStyleInfo name="Hallbokningsschema 2" showFirstColumn="0" showLastColumn="0" showRowStripes="0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4" xr:uid="{83239D3F-60A5-4964-9A6B-EC16660ECA06}" name="Tabell13441485576839097104111118125139146153160167174181188195202209216223230237244251258265272279286293300307314321328335" displayName="Tabell13441485576839097104111118125139146153160167174181188195202209216223230237244251258265272279286293300307314321328335" ref="A2:F7" totalsRowShown="0" headerRowDxfId="3840" dataDxfId="3839">
  <autoFilter ref="A2:F7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7">
    <sortCondition ref="C3:C7"/>
  </sortState>
  <tableColumns count="6">
    <tableColumn id="1" xr3:uid="{8B1DE45C-D12F-4EF1-8BF1-FFBBE7E3789D}" name="DAG" dataDxfId="2036">
      <calculatedColumnFormula>PROPER(TEXT(B3, "dddd"))</calculatedColumnFormula>
    </tableColumn>
    <tableColumn id="2" xr3:uid="{D4F61AD4-E696-4C53-B89E-D3C68CAD3C0F}" name="DATUM" dataDxfId="2034">
      <calculatedColumnFormula>Måndag13</calculatedColumnFormula>
    </tableColumn>
    <tableColumn id="3" xr3:uid="{42042C2E-CEC8-4BCA-9292-527908651960}" name="Tid1" dataDxfId="2035"/>
    <tableColumn id="4" xr3:uid="{9FB66615-66B1-431C-BFB5-CA13901194C2}" name="TID" dataDxfId="3838"/>
    <tableColumn id="5" xr3:uid="{AD6A957C-0EBA-4D01-9A27-133F0D480327}" name="ANTAL" dataDxfId="3837"/>
    <tableColumn id="6" xr3:uid="{7D81B05B-FC1E-4BB7-8505-873EB140BC3A}" name="GRUPP/LAG/SKOLA/ETC." dataDxfId="3836"/>
  </tableColumns>
  <tableStyleInfo name="Hallbokningsschema 2" showFirstColumn="0" showLastColumn="0" showRowStripes="0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5" xr:uid="{8A5DA2AE-C764-411A-AE25-0A50A9B0D337}" name="Tabell23542495677849198105112119126140147154161168175182189196203210217224231238245252259266273280287294301308315322329336" displayName="Tabell23542495677849198105112119126140147154161168175182189196203210217224231238245252259266273280287294301308315322329336" ref="A8:F14" totalsRowShown="0" headerRowDxfId="3835" dataDxfId="3834">
  <autoFilter ref="A8:F14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9:F14">
    <sortCondition ref="C9:C14"/>
  </sortState>
  <tableColumns count="6">
    <tableColumn id="1" xr3:uid="{21852F5F-9E28-4494-91C5-FFB18B5E36B7}" name="DAG" dataDxfId="2033">
      <calculatedColumnFormula>PROPER(TEXT(B9, "dddd"))</calculatedColumnFormula>
    </tableColumn>
    <tableColumn id="2" xr3:uid="{248B7438-9230-4942-92EC-E0920F8CC8DF}" name="DATUM" dataDxfId="2031">
      <calculatedColumnFormula>Tisdag13</calculatedColumnFormula>
    </tableColumn>
    <tableColumn id="3" xr3:uid="{4901FD12-1E1C-4320-A4A6-79AB22D51F70}" name="Tid1" dataDxfId="2032"/>
    <tableColumn id="4" xr3:uid="{91DA6F80-4F38-4209-BA13-56950E686291}" name="TID" dataDxfId="3833"/>
    <tableColumn id="5" xr3:uid="{FCC8D2E5-6709-4619-BD33-9D2D9B633E25}" name="ANTAL" dataDxfId="3832"/>
    <tableColumn id="6" xr3:uid="{F75FC9B7-2FDA-42B9-869B-A1DA1307ADB8}" name="GRUPP/LAG/SKOLA/ETC." dataDxfId="3831"/>
  </tableColumns>
  <tableStyleInfo name="Hallbokningsschema 2" showFirstColumn="0" showLastColumn="0" showRowStripes="0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6" xr:uid="{922673B1-FAFC-4B01-AF23-36368665E9ED}" name="Tabell33643505778859299106113120127141148155162169176183190197204211218225232239246253260267274281288295302309316323330337" displayName="Tabell33643505778859299106113120127141148155162169176183190197204211218225232239246253260267274281288295302309316323330337" ref="A15:F22" totalsRowShown="0" headerRowDxfId="3830" dataDxfId="3829">
  <autoFilter ref="A15:F22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6:F22">
    <sortCondition ref="C16:C22"/>
  </sortState>
  <tableColumns count="6">
    <tableColumn id="1" xr3:uid="{460ED372-4388-438F-BB15-940EFB765710}" name="DAG" dataDxfId="2030">
      <calculatedColumnFormula>PROPER(TEXT(B16, "dddd"))</calculatedColumnFormula>
    </tableColumn>
    <tableColumn id="2" xr3:uid="{B224CAD4-945C-4A8F-9697-2CCF8E162F6D}" name="DATUM" dataDxfId="2028">
      <calculatedColumnFormula>Onsdag13</calculatedColumnFormula>
    </tableColumn>
    <tableColumn id="3" xr3:uid="{9B7B66D7-694E-4C83-9A90-9EC9EA559C25}" name="Tid1" dataDxfId="2029"/>
    <tableColumn id="4" xr3:uid="{05BDCBCB-51E5-440D-8FEC-96EE9FB549D7}" name="TID" dataDxfId="3828"/>
    <tableColumn id="5" xr3:uid="{B2DF75DF-618E-45C9-9313-FAD91BCB3C15}" name="ANTAL" dataDxfId="3827"/>
    <tableColumn id="6" xr3:uid="{7D5D7236-02F8-47B5-9D58-F9F94260B847}" name="GRUPP/LAG/SKOLA/ETC." dataDxfId="3826"/>
  </tableColumns>
  <tableStyleInfo name="Hallbokningsschema 2" showFirstColumn="0" showLastColumn="0" showRowStripes="0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7" xr:uid="{AAF7AF78-2E5A-43B2-B0AE-3A52C3F7D2BC}" name="Tabell437445158798693100107114121128142149156163170177184191198205212219226233240247254261268275282289296303310317324331338" displayName="Tabell437445158798693100107114121128142149156163170177184191198205212219226233240247254261268275282289296303310317324331338" ref="A23:F29" totalsRowShown="0" headerRowDxfId="3825" dataDxfId="3824">
  <autoFilter ref="A23:F2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4:F29">
    <sortCondition ref="C24:C29"/>
  </sortState>
  <tableColumns count="6">
    <tableColumn id="1" xr3:uid="{AF6E7DBF-BB3D-4157-B13C-5AD90580CAB7}" name="DAG" dataDxfId="2027">
      <calculatedColumnFormula>PROPER(TEXT(B24, "dddd"))</calculatedColumnFormula>
    </tableColumn>
    <tableColumn id="2" xr3:uid="{A5D488D6-120A-49A0-B470-FBF5F8079DCC}" name="DATUM" dataDxfId="2025">
      <calculatedColumnFormula>Torsdag13</calculatedColumnFormula>
    </tableColumn>
    <tableColumn id="3" xr3:uid="{04AA90AA-02D4-48AC-BF94-077A2E2F7FAC}" name="Tid1" dataDxfId="2026"/>
    <tableColumn id="4" xr3:uid="{BC3F851C-91AA-4E2E-870B-5C5E526F253E}" name="TID" dataDxfId="3823"/>
    <tableColumn id="5" xr3:uid="{170A6CC2-09FB-4896-9550-FB42ED7B66C2}" name="ANTAL" dataDxfId="3822"/>
    <tableColumn id="6" xr3:uid="{72B9855D-FBD3-4BCA-813E-E24CA15F8A77}" name="GRUPP/LAG/SKOLA/ETC." dataDxfId="3821"/>
  </tableColumns>
  <tableStyleInfo name="Hallbokningsschema 2" showFirstColumn="0" showLastColumn="0" showRowStripes="0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8" xr:uid="{D56687EE-19C6-457B-B2CF-F12BC74582E3}" name="Tabell538455259808794101108115122129143150157164171178185192199206213220227234241248255262269276283290297304311318325332339" displayName="Tabell538455259808794101108115122129143150157164171178185192199206213220227234241248255262269276283290297304311318325332339" ref="A30:F35" totalsRowShown="0" headerRowDxfId="3820" dataDxfId="3819">
  <autoFilter ref="A30:F35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1:F35">
    <sortCondition ref="C31:C35"/>
  </sortState>
  <tableColumns count="6">
    <tableColumn id="1" xr3:uid="{D155E779-DABB-428E-9DAA-6F23E329067B}" name="DAG" dataDxfId="2024">
      <calculatedColumnFormula>PROPER(TEXT(B31, "dddd"))</calculatedColumnFormula>
    </tableColumn>
    <tableColumn id="2" xr3:uid="{2C659A7C-7C75-42CD-BC2F-58654B94F8D8}" name="DATUM" dataDxfId="2022">
      <calculatedColumnFormula>Fredag13</calculatedColumnFormula>
    </tableColumn>
    <tableColumn id="3" xr3:uid="{71F81AE8-FF16-4A18-9831-3D643C5B4CA5}" name="Tid1" dataDxfId="2023"/>
    <tableColumn id="4" xr3:uid="{259CA0AF-B880-4563-9E33-06D5EFB0B64C}" name="TID" dataDxfId="3818"/>
    <tableColumn id="5" xr3:uid="{FEBCACF7-2C9F-420F-9A35-7128C4C97E82}" name="ANTAL" dataDxfId="3817"/>
    <tableColumn id="6" xr3:uid="{470C342E-E677-41EF-9F83-AC61E14DDF6D}" name="GRUPP/LAG/SKOLA/ETC." dataDxfId="3816"/>
  </tableColumns>
  <tableStyleInfo name="Hallbokningsschema 2" showFirstColumn="0" showLastColumn="0" showRowStripes="0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9" xr:uid="{4D6A9E5C-747C-4E2E-9064-B2EAB5DF44D1}" name="Tabell639465360818895102109116123130144151158165172179186193200207214221228235242249256263270277284291298305312319326333340" displayName="Tabell639465360818895102109116123130144151158165172179186193200207214221228235242249256263270277284291298305312319326333340" ref="A36:F39" totalsRowShown="0" headerRowDxfId="3815" dataDxfId="3814">
  <autoFilter ref="A36:F39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1472B4B-2B52-4B13-AAA1-1CF36F7645CB}" name="DAG" dataDxfId="2021">
      <calculatedColumnFormula>PROPER(TEXT(B37, "dddd"))</calculatedColumnFormula>
    </tableColumn>
    <tableColumn id="2" xr3:uid="{F758C1E4-C155-4772-87FE-DD805E3838E1}" name="DATUM" dataDxfId="2019">
      <calculatedColumnFormula>Lördag13</calculatedColumnFormula>
    </tableColumn>
    <tableColumn id="3" xr3:uid="{E6160EDE-F7DC-4344-A18A-E4E5CEC7D327}" name="Tid1" dataDxfId="2020"/>
    <tableColumn id="4" xr3:uid="{AB7819E1-23E9-4E3C-805A-79ECFF5170F6}" name="TID" dataDxfId="3813"/>
    <tableColumn id="5" xr3:uid="{36260311-17BE-4059-B3BA-30186C1C6969}" name="ANTAL" dataDxfId="3812"/>
    <tableColumn id="6" xr3:uid="{98DD8A85-3E22-438F-AE92-3107497712A8}" name="GRUPP/LAG/SKOLA/ETC." dataDxfId="3811"/>
  </tableColumns>
  <tableStyleInfo name="Hallbokningsschema 2" showFirstColumn="0" showLastColumn="0" showRowStripes="0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0" xr:uid="{521AF426-09E3-4051-8C07-FD4F17F6A55E}" name="Tabell740475461828996103110117124131145152159166173180187194201208215222229236243250257264271278285292299306313320327334341" displayName="Tabell740475461828996103110117124131145152159166173180187194201208215222229236243250257264271278285292299306313320327334341" ref="A40:F41" totalsRowShown="0" headerRowDxfId="3810" dataDxfId="3809">
  <autoFilter ref="A40:F41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9148111-1779-438B-9D8E-F81EE8A8C0A6}" name="DAG" dataDxfId="2018">
      <calculatedColumnFormula>PROPER(TEXT(B41, "dddd"))</calculatedColumnFormula>
    </tableColumn>
    <tableColumn id="2" xr3:uid="{94609C6D-CEEF-48CD-931A-01C2B822E70E}" name="DATUM" dataDxfId="2016">
      <calculatedColumnFormula>Söndag13</calculatedColumnFormula>
    </tableColumn>
    <tableColumn id="3" xr3:uid="{40D67B46-FF1E-4763-B21A-EA663FDE2B02}" name="Tid1" dataDxfId="2017"/>
    <tableColumn id="4" xr3:uid="{D80E3CD8-7510-4B5F-B3E5-1AACF9831459}" name="TID" dataDxfId="3808"/>
    <tableColumn id="5" xr3:uid="{EDCFCAAD-A99E-4816-97E0-38C344616E8B}" name="ANTAL" dataDxfId="3807"/>
    <tableColumn id="6" xr3:uid="{519D81C1-DC0C-455F-9059-96C6DF2AE367}" name="GRUPP/LAG/SKOLA/ETC." dataDxfId="3806"/>
  </tableColumns>
  <tableStyleInfo name="Hallbokningsschema 2" showFirstColumn="0" showLastColumn="0" showRowStripes="0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7" xr:uid="{92A01A42-1144-4796-8FD1-B15FBAE6EA2D}" name="Tabell13441485576839097104111118125139146153160167174181188195202209216223230237244251258265272279286293300307314321328" displayName="Tabell13441485576839097104111118125139146153160167174181188195202209216223230237244251258265272279286293300307314321328" ref="A2:F7" totalsRowShown="0" headerRowDxfId="3805" dataDxfId="3804">
  <autoFilter ref="A2:F7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7">
    <sortCondition ref="C3:C7"/>
  </sortState>
  <tableColumns count="6">
    <tableColumn id="1" xr3:uid="{9C0604C3-5CD1-4F35-AC6F-074CBD2BE8CC}" name="DAG" dataDxfId="2015">
      <calculatedColumnFormula>PROPER(TEXT(B3, "dddd"))</calculatedColumnFormula>
    </tableColumn>
    <tableColumn id="2" xr3:uid="{63C2E8D8-9F3F-4DE6-BACE-BC5A64A95D18}" name="DATUM" dataDxfId="2013">
      <calculatedColumnFormula>Måndag14</calculatedColumnFormula>
    </tableColumn>
    <tableColumn id="3" xr3:uid="{8ACA3BC1-7573-48B0-8CF9-B08D1FEDABAA}" name="Tid1" dataDxfId="2014"/>
    <tableColumn id="4" xr3:uid="{EBBB964A-81D9-4F4E-B4D3-61A047A426AC}" name="TID" dataDxfId="3803"/>
    <tableColumn id="5" xr3:uid="{C2D90F0F-40CE-4BFA-9B5F-44F408FB6190}" name="ANTAL" dataDxfId="3802"/>
    <tableColumn id="6" xr3:uid="{A85C55F0-4BC5-4EED-8B68-E89926C5B9C3}" name="GRUPP/LAG/SKOLA/ETC." dataDxfId="3801"/>
  </tableColumns>
  <tableStyleInfo name="Hallbokningsschema 2" showFirstColumn="0" showLastColumn="0" showRowStripes="0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8" xr:uid="{9059C9EE-92F0-469B-A22B-4C4E61D560ED}" name="Tabell23542495677849198105112119126140147154161168175182189196203210217224231238245252259266273280287294301308315322329" displayName="Tabell23542495677849198105112119126140147154161168175182189196203210217224231238245252259266273280287294301308315322329" ref="A8:F15" totalsRowShown="0" headerRowDxfId="3800" dataDxfId="3799">
  <autoFilter ref="A8:F1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9:F15">
    <sortCondition ref="C9:C15"/>
  </sortState>
  <tableColumns count="6">
    <tableColumn id="1" xr3:uid="{8A776B0D-AD3E-4EEC-A527-AAEE8156A108}" name="DAG" dataDxfId="2012">
      <calculatedColumnFormula>PROPER(TEXT(B9, "dddd"))</calculatedColumnFormula>
    </tableColumn>
    <tableColumn id="2" xr3:uid="{C9F29E93-6D91-4BE2-B573-1569DB8C4AD1}" name="DATUM" dataDxfId="2010">
      <calculatedColumnFormula>Tisdag14</calculatedColumnFormula>
    </tableColumn>
    <tableColumn id="3" xr3:uid="{65163AA5-9B78-4C67-9273-3EE0066DF592}" name="Tid1" dataDxfId="2011"/>
    <tableColumn id="4" xr3:uid="{5ECF9FFB-196D-4B14-BE77-39C62753F45B}" name="TID" dataDxfId="3798"/>
    <tableColumn id="5" xr3:uid="{CC554DC6-620C-4E81-9A78-FD3AC17B9AE3}" name="ANTAL" dataDxfId="3797"/>
    <tableColumn id="6" xr3:uid="{7251007D-8430-45A2-AE27-2F8188B0D743}" name="GRUPP/LAG/SKOLA/ETC." dataDxfId="3796"/>
  </tableColumns>
  <tableStyleInfo name="Hallbokningsschema 2" showFirstColumn="0" showLastColumn="0" showRowStripes="0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9" xr:uid="{74AC9D8C-F08C-496D-A8E5-14D7CE513030}" name="Tabell33643505778859299106113120127141148155162169176183190197204211218225232239246253260267274281288295302309316323330" displayName="Tabell33643505778859299106113120127141148155162169176183190197204211218225232239246253260267274281288295302309316323330" ref="A16:F23" totalsRowShown="0" headerRowDxfId="3795" dataDxfId="3794">
  <autoFilter ref="A16:F23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7:F23">
    <sortCondition ref="C17:C23"/>
  </sortState>
  <tableColumns count="6">
    <tableColumn id="1" xr3:uid="{F8BDA62C-4772-4D4D-AA3F-DEA22443BFCE}" name="DAG" dataDxfId="2009">
      <calculatedColumnFormula>PROPER(TEXT(B17, "dddd"))</calculatedColumnFormula>
    </tableColumn>
    <tableColumn id="2" xr3:uid="{2833A43B-E04E-4071-85B2-3B0EDBD79C66}" name="DATUM" dataDxfId="2007">
      <calculatedColumnFormula>Onsdag14</calculatedColumnFormula>
    </tableColumn>
    <tableColumn id="3" xr3:uid="{B0D79827-8A5D-4BE8-962B-7BA25E31ECB4}" name="Tid1" dataDxfId="2008"/>
    <tableColumn id="4" xr3:uid="{BCEF4A1F-CEBF-4DDB-B773-DCFB6D1870FF}" name="TID" dataDxfId="3793"/>
    <tableColumn id="5" xr3:uid="{E2EA41B6-1D21-4C3E-8E44-128EEB747F3D}" name="ANTAL" dataDxfId="3792"/>
    <tableColumn id="6" xr3:uid="{1A95337F-2B1B-4A57-B0D0-6BF4FDDCD69C}" name="GRUPP/LAG/SKOLA/ETC." dataDxfId="3791"/>
  </tableColumns>
  <tableStyleInfo name="Hallbokningsschema 2" showFirstColumn="0" showLastColumn="0" showRowStripes="0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0" xr:uid="{1C4A6AA6-E529-45CC-979F-3DC6843CFD69}" name="Tabell437445158798693100107114121128142149156163170177184191198205212219226233240247254261268275282289296303310317324331" displayName="Tabell437445158798693100107114121128142149156163170177184191198205212219226233240247254261268275282289296303310317324331" ref="A24:F30" totalsRowShown="0" headerRowDxfId="3790" dataDxfId="3789">
  <autoFilter ref="A24:F30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5:F30">
    <sortCondition ref="C25:C30"/>
  </sortState>
  <tableColumns count="6">
    <tableColumn id="1" xr3:uid="{C7976026-8081-4305-BCA2-B7F748E3C0E9}" name="DAG" dataDxfId="2006">
      <calculatedColumnFormula>PROPER(TEXT(B25, "dddd"))</calculatedColumnFormula>
    </tableColumn>
    <tableColumn id="2" xr3:uid="{FF9CD093-7D0A-4F7A-A8BA-46185AD4AD24}" name="DATUM" dataDxfId="2004">
      <calculatedColumnFormula>Torsdag14</calculatedColumnFormula>
    </tableColumn>
    <tableColumn id="3" xr3:uid="{8483EA06-56B6-4EA7-8592-D375DD41982F}" name="Tid1" dataDxfId="2005"/>
    <tableColumn id="4" xr3:uid="{8BDE9084-29F8-4BC3-BE7B-F505CC7BDBFE}" name="TID" dataDxfId="3788"/>
    <tableColumn id="5" xr3:uid="{07E21F34-8E0B-4746-9C62-681B5F920F65}" name="ANTAL" dataDxfId="3787"/>
    <tableColumn id="6" xr3:uid="{16FEFBD0-BBFD-4C0D-ADCB-BE1F2C88D9B2}" name="GRUPP/LAG/SKOLA/ETC." dataDxfId="3786"/>
  </tableColumns>
  <tableStyleInfo name="Hallbokningsschema 2" showFirstColumn="0" showLastColumn="0" showRowStripes="0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1" xr:uid="{0A164F2E-9A72-40E8-BF04-9C6F5059761C}" name="Tabell538455259808794101108115122129143150157164171178185192199206213220227234241248255262269276283290297304311318325332" displayName="Tabell538455259808794101108115122129143150157164171178185192199206213220227234241248255262269276283290297304311318325332" ref="A31:F38" totalsRowShown="0" headerRowDxfId="3785" dataDxfId="3784">
  <autoFilter ref="A31:F38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2:F38">
    <sortCondition ref="C32:C38"/>
  </sortState>
  <tableColumns count="6">
    <tableColumn id="1" xr3:uid="{6DC16971-2CD7-447D-BEB8-7080AC2D7499}" name="DAG" dataDxfId="2003">
      <calculatedColumnFormula>PROPER(TEXT(B32, "dddd"))</calculatedColumnFormula>
    </tableColumn>
    <tableColumn id="2" xr3:uid="{26EC07FB-9FCA-471A-8B66-8D0B0ED54131}" name="DATUM" dataDxfId="2001">
      <calculatedColumnFormula>Fredag14</calculatedColumnFormula>
    </tableColumn>
    <tableColumn id="3" xr3:uid="{02C8ED6C-A52C-4E2B-A8FD-666F883FB238}" name="Tid1" dataDxfId="2002"/>
    <tableColumn id="4" xr3:uid="{88FA8A91-4DB2-45F3-AB86-FD81A82A5F8B}" name="TID" dataDxfId="3783"/>
    <tableColumn id="5" xr3:uid="{645FB67C-CAE9-41F2-B479-CC0065634A79}" name="ANTAL" dataDxfId="3782"/>
    <tableColumn id="6" xr3:uid="{F67CC838-45D1-4205-87F1-495F123109EA}" name="GRUPP/LAG/SKOLA/ETC." dataDxfId="3781"/>
  </tableColumns>
  <tableStyleInfo name="Hallbokningsschema 2" showFirstColumn="0" showLastColumn="0" showRowStripes="0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2" xr:uid="{035D89D0-CC4B-4D04-9486-9FFD891AE60A}" name="Tabell639465360818895102109116123130144151158165172179186193200207214221228235242249256263270277284291298305312319326333" displayName="Tabell639465360818895102109116123130144151158165172179186193200207214221228235242249256263270277284291298305312319326333" ref="A39:F41" totalsRowShown="0" headerRowDxfId="3780" dataDxfId="3779">
  <autoFilter ref="A39:F41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48B9F1C-6BB9-44BA-9BF1-C10DB5D64A69}" name="DAG" dataDxfId="2000">
      <calculatedColumnFormula>PROPER(TEXT(B40, "dddd"))</calculatedColumnFormula>
    </tableColumn>
    <tableColumn id="2" xr3:uid="{9CBA0811-26E2-43B6-8B75-DBF1ACF9256E}" name="DATUM" dataDxfId="1998">
      <calculatedColumnFormula>Lördag14</calculatedColumnFormula>
    </tableColumn>
    <tableColumn id="3" xr3:uid="{A6340201-F7D5-414B-A084-9CE1BB91F73D}" name="Tid1" dataDxfId="1999"/>
    <tableColumn id="4" xr3:uid="{E73A8E84-3555-41C9-BF31-66EDAF0FFF4C}" name="TID" dataDxfId="3778"/>
    <tableColumn id="5" xr3:uid="{87C075EF-D09D-4613-83F0-8C8A3DF1B412}" name="ANTAL" dataDxfId="3777"/>
    <tableColumn id="6" xr3:uid="{C487FAE7-F739-4188-95C2-76103DF2B0E1}" name="GRUPP/LAG/SKOLA/ETC." dataDxfId="3776"/>
  </tableColumns>
  <tableStyleInfo name="Hallbokningsschema 2" showFirstColumn="0" showLastColumn="0" showRowStripes="0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3" xr:uid="{09743E20-1997-4CD1-BC7C-465A51121263}" name="Tabell740475461828996103110117124131145152159166173180187194201208215222229236243250257264271278285292299306313320327334" displayName="Tabell740475461828996103110117124131145152159166173180187194201208215222229236243250257264271278285292299306313320327334" ref="A42:F43" totalsRowShown="0" headerRowDxfId="3775" dataDxfId="3774">
  <autoFilter ref="A42:F43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B839D7E-02D5-4B2A-8EE5-FBDAAD21503C}" name="DAG" dataDxfId="1997">
      <calculatedColumnFormula>PROPER(TEXT(B43, "dddd"))</calculatedColumnFormula>
    </tableColumn>
    <tableColumn id="2" xr3:uid="{C9BAA692-D5E6-44F4-8186-11D65D8347C0}" name="DATUM" dataDxfId="1995">
      <calculatedColumnFormula>Söndag14</calculatedColumnFormula>
    </tableColumn>
    <tableColumn id="3" xr3:uid="{B3364FD2-49BA-4836-986D-50B451E3FAF9}" name="Tid1" dataDxfId="1996"/>
    <tableColumn id="4" xr3:uid="{2E5CE2EA-AB03-421D-851A-6BD035146160}" name="TID" dataDxfId="3773"/>
    <tableColumn id="5" xr3:uid="{96250B71-7A3F-4EA3-B03D-BD56A0C0218F}" name="ANTAL" dataDxfId="3772"/>
    <tableColumn id="6" xr3:uid="{A4034A73-35E1-46B1-8F2D-14E6F9BAF185}" name="GRUPP/LAG/SKOLA/ETC." dataDxfId="3771"/>
  </tableColumns>
  <tableStyleInfo name="Hallbokningsschema 2" showFirstColumn="0" showLastColumn="0" showRowStripes="0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0" xr:uid="{2DA037F9-3DED-4923-9554-F4B4452C1A1C}" name="Tabell13441485576839097104111118125139146153160167174181188195202209216223230237244251258265272279286293300307314321" displayName="Tabell13441485576839097104111118125139146153160167174181188195202209216223230237244251258265272279286293300307314321" ref="A2:F8" totalsRowShown="0" headerRowDxfId="3770" dataDxfId="3769">
  <autoFilter ref="A2:F8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8">
    <sortCondition ref="C3:C8"/>
  </sortState>
  <tableColumns count="6">
    <tableColumn id="1" xr3:uid="{F062BB80-94DE-4D47-A39D-C073A9863206}" name="DAG" dataDxfId="1994">
      <calculatedColumnFormula>PROPER(TEXT(B3, "dddd"))</calculatedColumnFormula>
    </tableColumn>
    <tableColumn id="2" xr3:uid="{59609496-6820-493F-AE3F-6935C375C582}" name="DATUM" dataDxfId="1992">
      <calculatedColumnFormula>Måndag15</calculatedColumnFormula>
    </tableColumn>
    <tableColumn id="3" xr3:uid="{9A58418C-F0A2-4806-A6C5-14A6D24F8F7B}" name="Tid1" dataDxfId="1993"/>
    <tableColumn id="4" xr3:uid="{4A0CD85F-7B92-4234-8734-700540E6E047}" name="TID" dataDxfId="3768"/>
    <tableColumn id="5" xr3:uid="{AD8A0074-3460-45D4-8BD6-8F6B8D35B8FB}" name="ANTAL" dataDxfId="3767"/>
    <tableColumn id="6" xr3:uid="{0A123E5A-F421-431B-ACC1-0C72A1338956}" name="GRUPP/LAG/SKOLA/ETC." dataDxfId="3766"/>
  </tableColumns>
  <tableStyleInfo name="Hallbokningsschema 2" showFirstColumn="0" showLastColumn="0" showRowStripes="0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1" xr:uid="{FA928C11-61AC-46E9-BA1E-63901838DAF3}" name="Tabell23542495677849198105112119126140147154161168175182189196203210217224231238245252259266273280287294301308315322" displayName="Tabell23542495677849198105112119126140147154161168175182189196203210217224231238245252259266273280287294301308315322" ref="A9:F16" totalsRowShown="0" headerRowDxfId="3765" dataDxfId="3764">
  <autoFilter ref="A9:F16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0:F16">
    <sortCondition ref="C10:C16"/>
  </sortState>
  <tableColumns count="6">
    <tableColumn id="1" xr3:uid="{FC1690B1-70D3-41C3-8EA4-B39CB06EF3A2}" name="DAG" dataDxfId="1991">
      <calculatedColumnFormula>PROPER(TEXT(B10, "dddd"))</calculatedColumnFormula>
    </tableColumn>
    <tableColumn id="2" xr3:uid="{9197E258-7267-4BAF-9F50-9A2754584EA1}" name="DATUM" dataDxfId="1989">
      <calculatedColumnFormula>Tisdag15</calculatedColumnFormula>
    </tableColumn>
    <tableColumn id="3" xr3:uid="{BD9C3064-E9A8-4017-9E89-16F5D6A8EACB}" name="Tid1" dataDxfId="1990"/>
    <tableColumn id="4" xr3:uid="{0FA03124-0F12-49D2-9F42-065792C58283}" name="TID" dataDxfId="3763"/>
    <tableColumn id="5" xr3:uid="{E06F8412-9CD2-4342-8165-D3A14470B059}" name="ANTAL" dataDxfId="3762"/>
    <tableColumn id="6" xr3:uid="{8AA8872D-4762-4AA4-96A8-6816744A6F6B}" name="GRUPP/LAG/SKOLA/ETC." dataDxfId="3761"/>
  </tableColumns>
  <tableStyleInfo name="Hallbokningsschema 2" showFirstColumn="0" showLastColumn="0" showRowStripes="0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2" xr:uid="{B81F4015-FCA0-4B52-BDB3-EC8F9D75EE2A}" name="Tabell33643505778859299106113120127141148155162169176183190197204211218225232239246253260267274281288295302309316323" displayName="Tabell33643505778859299106113120127141148155162169176183190197204211218225232239246253260267274281288295302309316323" ref="A17:F26" totalsRowShown="0" headerRowDxfId="3760" dataDxfId="3759">
  <autoFilter ref="A17:F26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8:F26">
    <sortCondition ref="C18:C26"/>
  </sortState>
  <tableColumns count="6">
    <tableColumn id="1" xr3:uid="{EB05D00E-2DA6-4954-B9A5-B57E84781ACB}" name="DAG" dataDxfId="1988">
      <calculatedColumnFormula>PROPER(TEXT(B18, "dddd"))</calculatedColumnFormula>
    </tableColumn>
    <tableColumn id="2" xr3:uid="{2B22FB95-F0A3-47B5-9866-F0A268CAAE6A}" name="DATUM" dataDxfId="1986">
      <calculatedColumnFormula>Onsdag15</calculatedColumnFormula>
    </tableColumn>
    <tableColumn id="3" xr3:uid="{AEEF2BE8-9366-497D-A32D-22D8AC9ACC23}" name="Tid1" dataDxfId="1987"/>
    <tableColumn id="4" xr3:uid="{ECCFC04D-21C6-4B91-A689-B1BC1663CC50}" name="TID" dataDxfId="3758"/>
    <tableColumn id="5" xr3:uid="{EC6C89B0-A198-4B3F-82E3-A268D2F9795E}" name="ANTAL" dataDxfId="3757"/>
    <tableColumn id="6" xr3:uid="{B9939208-4A9C-455F-92BD-8DFD2E7D4BF5}" name="GRUPP/LAG/SKOLA/ETC." dataDxfId="3756"/>
  </tableColumns>
  <tableStyleInfo name="Hallbokningsschema 2" showFirstColumn="0" showLastColumn="0" showRowStripes="0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3" xr:uid="{0D649043-B061-4B8C-8C3B-D2DB93529BEB}" name="Tabell437445158798693100107114121128142149156163170177184191198205212219226233240247254261268275282289296303310317324" displayName="Tabell437445158798693100107114121128142149156163170177184191198205212219226233240247254261268275282289296303310317324" ref="A27:F34" totalsRowShown="0" headerRowDxfId="3755" dataDxfId="3754">
  <autoFilter ref="A27:F34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8:F34">
    <sortCondition ref="C28:C34"/>
  </sortState>
  <tableColumns count="6">
    <tableColumn id="1" xr3:uid="{4F72DAA9-5F50-4F76-A713-87D55B73350F}" name="DAG" dataDxfId="1985">
      <calculatedColumnFormula>PROPER(TEXT(B28, "dddd"))</calculatedColumnFormula>
    </tableColumn>
    <tableColumn id="2" xr3:uid="{6EFC1BE9-040C-42A5-9AC1-8CED3DCAE323}" name="DATUM" dataDxfId="1983">
      <calculatedColumnFormula>Torsdag15</calculatedColumnFormula>
    </tableColumn>
    <tableColumn id="3" xr3:uid="{8B3C8EB0-EBEB-4800-AC05-693D58FEF1DC}" name="Tid1" dataDxfId="1984"/>
    <tableColumn id="4" xr3:uid="{B073E806-CB0B-422A-BA1F-C9FFA1B27AA8}" name="TID" dataDxfId="3753"/>
    <tableColumn id="5" xr3:uid="{AA172849-B6E6-4022-A147-D6BB2A0CA3B0}" name="ANTAL" dataDxfId="3752"/>
    <tableColumn id="6" xr3:uid="{EDBD6739-4C4B-44F1-8898-B4607D2902CA}" name="GRUPP/LAG/SKOLA/ETC." dataDxfId="3751"/>
  </tableColumns>
  <tableStyleInfo name="Hallbokningsschema 2" showFirstColumn="0" showLastColumn="0" showRowStripes="0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4" xr:uid="{1163DA2D-1A75-400D-8A2D-7DDA322F9A3C}" name="Tabell538455259808794101108115122129143150157164171178185192199206213220227234241248255262269276283290297304311318325" displayName="Tabell538455259808794101108115122129143150157164171178185192199206213220227234241248255262269276283290297304311318325" ref="A35:F39" totalsRowShown="0" headerRowDxfId="3750" dataDxfId="3749">
  <autoFilter ref="A35:F39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6:F39">
    <sortCondition ref="C36:C39"/>
  </sortState>
  <tableColumns count="6">
    <tableColumn id="1" xr3:uid="{E9B879B5-9543-4C6E-B06F-44C5E74D57FA}" name="DAG" dataDxfId="1982">
      <calculatedColumnFormula>PROPER(TEXT(B36, "dddd"))</calculatedColumnFormula>
    </tableColumn>
    <tableColumn id="2" xr3:uid="{57369B75-3E57-4F97-8F4B-C2F88A053C4C}" name="DATUM" dataDxfId="1980">
      <calculatedColumnFormula>Fredag15</calculatedColumnFormula>
    </tableColumn>
    <tableColumn id="3" xr3:uid="{A08D634E-DE7E-419F-AC5B-E3A6F3C0E7E3}" name="Tid1" dataDxfId="1981"/>
    <tableColumn id="4" xr3:uid="{5BF11AC9-9A59-456C-8FA6-E96472273479}" name="TID" dataDxfId="3748"/>
    <tableColumn id="5" xr3:uid="{F4D0A811-FC35-401F-A7CE-F017E23A0981}" name="ANTAL" dataDxfId="3747"/>
    <tableColumn id="6" xr3:uid="{9111F7EA-265F-42CB-9B4A-FC69826625A2}" name="GRUPP/LAG/SKOLA/ETC." dataDxfId="3746"/>
  </tableColumns>
  <tableStyleInfo name="Hallbokningsschema 2" showFirstColumn="0" showLastColumn="0" showRowStripes="0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5" xr:uid="{5037CD8C-CEDE-4BDE-BD2D-940DFCC96E33}" name="Tabell639465360818895102109116123130144151158165172179186193200207214221228235242249256263270277284291298305312319326" displayName="Tabell639465360818895102109116123130144151158165172179186193200207214221228235242249256263270277284291298305312319326" ref="A40:F44" totalsRowShown="0" headerRowDxfId="3745" dataDxfId="3744">
  <autoFilter ref="A40:F44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9063A2E-B75F-451F-9BC2-674F0B5F8021}" name="DAG" dataDxfId="1979">
      <calculatedColumnFormula>PROPER(TEXT(B41, "dddd"))</calculatedColumnFormula>
    </tableColumn>
    <tableColumn id="2" xr3:uid="{A2601C6A-1637-4EA4-A7DC-F749DD3369DB}" name="DATUM" dataDxfId="1977">
      <calculatedColumnFormula>Lördag15</calculatedColumnFormula>
    </tableColumn>
    <tableColumn id="3" xr3:uid="{99076ECA-18BC-4CFD-85E5-26C673E754BA}" name="Tid1" dataDxfId="1978"/>
    <tableColumn id="4" xr3:uid="{A13647F4-BE78-41D1-A28E-1D78E4BCC450}" name="TID" dataDxfId="3743"/>
    <tableColumn id="5" xr3:uid="{2DA2CB59-E6A6-4104-8814-3610D32D7E4E}" name="ANTAL" dataDxfId="3742"/>
    <tableColumn id="6" xr3:uid="{67D440A8-005B-413C-B9CC-1A7A2D84AA3F}" name="GRUPP/LAG/SKOLA/ETC." dataDxfId="3741"/>
  </tableColumns>
  <tableStyleInfo name="Hallbokningsschema 2" showFirstColumn="0" showLastColumn="0" showRowStripes="0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6" xr:uid="{49BB13F0-378C-4766-91B6-804F4FDCF209}" name="Tabell740475461828996103110117124131145152159166173180187194201208215222229236243250257264271278285292299306313320327" displayName="Tabell740475461828996103110117124131145152159166173180187194201208215222229236243250257264271278285292299306313320327" ref="A45:F47" totalsRowShown="0" headerRowDxfId="3740" dataDxfId="3739">
  <autoFilter ref="A45:F47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B54C17E-2EA9-456A-8AA9-D93B28ECE8FF}" name="DAG" dataDxfId="1976">
      <calculatedColumnFormula>PROPER(TEXT(B46, "dddd"))</calculatedColumnFormula>
    </tableColumn>
    <tableColumn id="2" xr3:uid="{575179C0-5DD6-48E9-B972-ED5B25060624}" name="DATUM" dataDxfId="1974">
      <calculatedColumnFormula>Söndag15</calculatedColumnFormula>
    </tableColumn>
    <tableColumn id="3" xr3:uid="{85CC7EEC-32D9-474C-AD6D-A7D46D688DBE}" name="Tid1" dataDxfId="1975"/>
    <tableColumn id="4" xr3:uid="{2C00CB58-FCEE-48B3-935C-D582881F3FA8}" name="TID" dataDxfId="3738"/>
    <tableColumn id="5" xr3:uid="{F32FB8AA-AC9C-4352-822D-737FCBE15F53}" name="ANTAL" dataDxfId="3737"/>
    <tableColumn id="6" xr3:uid="{6D568812-B5AC-4AEA-B9A7-97722C4A69A8}" name="GRUPP/LAG/SKOLA/ETC." dataDxfId="3736"/>
  </tableColumns>
  <tableStyleInfo name="Hallbokningsschema 2" showFirstColumn="0" showLastColumn="0" showRowStripes="0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3" xr:uid="{5C2CA090-7C7E-49E3-96EF-2D4CBFA01C93}" name="Tabell13441485576839097104111118125139146153160167174181188195202209216223230237244251258265272279286293300307314" displayName="Tabell13441485576839097104111118125139146153160167174181188195202209216223230237244251258265272279286293300307314" ref="A2:F5" totalsRowShown="0" headerRowDxfId="3735" dataDxfId="3734">
  <autoFilter ref="A2:F5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5">
    <sortCondition ref="C3:C5"/>
  </sortState>
  <tableColumns count="6">
    <tableColumn id="1" xr3:uid="{85FBBED4-6FE3-48E0-917C-1CD96F888568}" name="DAG" dataDxfId="1973">
      <calculatedColumnFormula>PROPER(TEXT(B3, "dddd"))</calculatedColumnFormula>
    </tableColumn>
    <tableColumn id="2" xr3:uid="{B0C0221E-B453-478A-A6B7-7D857FDC577D}" name="DATUM" dataDxfId="1971">
      <calculatedColumnFormula>Måndag16</calculatedColumnFormula>
    </tableColumn>
    <tableColumn id="3" xr3:uid="{8634D3B9-FFCD-4ECC-AB2C-800DA6CD6E94}" name="Tid1" dataDxfId="1972"/>
    <tableColumn id="4" xr3:uid="{A1D3108C-AB9C-4421-BE81-2D99F276E7E3}" name="TID" dataDxfId="3733"/>
    <tableColumn id="5" xr3:uid="{D7950CF2-726F-4458-BED6-8A423F12B4AA}" name="ANTAL" dataDxfId="3732"/>
    <tableColumn id="6" xr3:uid="{76DF2A9C-52CD-495F-B3D0-C96884F06951}" name="GRUPP/LAG/SKOLA/ETC." dataDxfId="3731"/>
  </tableColumns>
  <tableStyleInfo name="Hallbokningsschema 2" showFirstColumn="0" showLastColumn="0" showRowStripes="0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4" xr:uid="{BBA06BCF-7BCC-4C5E-8F2E-7B4A8E8A88E1}" name="Tabell23542495677849198105112119126140147154161168175182189196203210217224231238245252259266273280287294301308315" displayName="Tabell23542495677849198105112119126140147154161168175182189196203210217224231238245252259266273280287294301308315" ref="A6:F8" totalsRowShown="0" headerRowDxfId="3730" dataDxfId="3729">
  <autoFilter ref="A6:F8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FE63050-1918-4B17-89B6-948FEBAE98F7}" name="DAG" dataDxfId="1970">
      <calculatedColumnFormula>PROPER(TEXT(B7, "dddd"))</calculatedColumnFormula>
    </tableColumn>
    <tableColumn id="2" xr3:uid="{B800E614-F27D-4712-9E65-F1A8450CD9E9}" name="DATUM" dataDxfId="1968">
      <calculatedColumnFormula>Tisdag16</calculatedColumnFormula>
    </tableColumn>
    <tableColumn id="3" xr3:uid="{DFF211B7-138D-4D66-A653-ED1EA1707426}" name="Tid1" dataDxfId="1969"/>
    <tableColumn id="4" xr3:uid="{80DFB354-6536-4A80-89BF-C924A3388BE2}" name="TID" dataDxfId="3728"/>
    <tableColumn id="5" xr3:uid="{CDAE2F22-8B50-416E-A594-3BC7DBE30C37}" name="ANTAL" dataDxfId="3727"/>
    <tableColumn id="6" xr3:uid="{A7C361A9-A5E4-4A07-A32E-557018342107}" name="GRUPP/LAG/SKOLA/ETC." dataDxfId="3726"/>
  </tableColumns>
  <tableStyleInfo name="Hallbokningsschema 2" showFirstColumn="0" showLastColumn="0" showRowStripes="0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5" xr:uid="{A3FC487C-33EE-4DAA-B544-940EAD01B04A}" name="Tabell33643505778859299106113120127141148155162169176183190197204211218225232239246253260267274281288295302309316" displayName="Tabell33643505778859299106113120127141148155162169176183190197204211218225232239246253260267274281288295302309316" ref="A9:F15" totalsRowShown="0" headerRowDxfId="3725" dataDxfId="3724">
  <autoFilter ref="A9:F15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0:F15">
    <sortCondition ref="C10:C15"/>
  </sortState>
  <tableColumns count="6">
    <tableColumn id="1" xr3:uid="{35D9BA92-F344-4AAA-8275-616ABD67D0C9}" name="DAG" dataDxfId="1967">
      <calculatedColumnFormula>PROPER(TEXT(B10, "dddd"))</calculatedColumnFormula>
    </tableColumn>
    <tableColumn id="2" xr3:uid="{81D1B5CE-3FEB-4187-8BBD-983E41FAF06E}" name="DATUM" dataDxfId="1965">
      <calculatedColumnFormula>Onsdag16</calculatedColumnFormula>
    </tableColumn>
    <tableColumn id="3" xr3:uid="{4887738F-9280-4AD9-BB2D-81809D3D5BBB}" name="Tid1" dataDxfId="1966"/>
    <tableColumn id="4" xr3:uid="{2F1E28B3-D81F-48B6-95C2-467458F1A634}" name="TID" dataDxfId="3723"/>
    <tableColumn id="5" xr3:uid="{EF57A2A7-50DC-43B4-B446-2C92C2A3ECD1}" name="ANTAL" dataDxfId="3722"/>
    <tableColumn id="6" xr3:uid="{42AD5E07-6311-414B-90D1-ACBF2A610AE4}" name="GRUPP/LAG/SKOLA/ETC." dataDxfId="3721"/>
  </tableColumns>
  <tableStyleInfo name="Hallbokningsschema 2" showFirstColumn="0" showLastColumn="0" showRowStripes="0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6" xr:uid="{B8246FF4-AB6E-4E31-A6C0-31F626A32FB9}" name="Tabell437445158798693100107114121128142149156163170177184191198205212219226233240247254261268275282289296303310317" displayName="Tabell437445158798693100107114121128142149156163170177184191198205212219226233240247254261268275282289296303310317" ref="A16:F19" totalsRowShown="0" headerRowDxfId="3720" dataDxfId="3719">
  <autoFilter ref="A16:F1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00C84E9-738B-4AD7-B800-010B703E4796}" name="DAG" dataDxfId="1964">
      <calculatedColumnFormula>PROPER(TEXT(B17, "dddd"))</calculatedColumnFormula>
    </tableColumn>
    <tableColumn id="2" xr3:uid="{D9FA115E-3D96-4E35-B40B-3EEC5389C290}" name="DATUM" dataDxfId="1962">
      <calculatedColumnFormula>Torsdag16</calculatedColumnFormula>
    </tableColumn>
    <tableColumn id="3" xr3:uid="{18B9897E-E538-440D-92E8-50DE18DD75B2}" name="Tid1" dataDxfId="1963"/>
    <tableColumn id="4" xr3:uid="{361A9561-CDEB-4B1C-9B03-5E873AB0E9D5}" name="TID" dataDxfId="3718"/>
    <tableColumn id="5" xr3:uid="{6C5B10D6-D036-42F2-B468-F0D9A3107A40}" name="ANTAL" dataDxfId="3717"/>
    <tableColumn id="6" xr3:uid="{0DE6D240-39C4-41CF-BDB1-A8CF21B70752}" name="GRUPP/LAG/SKOLA/ETC." dataDxfId="3716"/>
  </tableColumns>
  <tableStyleInfo name="Hallbokningsschema 2" showFirstColumn="0" showLastColumn="0" showRowStripes="0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7" xr:uid="{6836A0B2-F255-4E9D-8BBC-FF81FCDCD2E0}" name="Tabell538455259808794101108115122129143150157164171178185192199206213220227234241248255262269276283290297304311318" displayName="Tabell538455259808794101108115122129143150157164171178185192199206213220227234241248255262269276283290297304311318" ref="A20:F21" totalsRowShown="0" headerRowDxfId="3715" dataDxfId="3714">
  <autoFilter ref="A20:F2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862983F-A623-494D-BB08-7B46D3EE008F}" name="DAG" dataDxfId="1961">
      <calculatedColumnFormula>PROPER(TEXT(B21, "dddd"))</calculatedColumnFormula>
    </tableColumn>
    <tableColumn id="2" xr3:uid="{17896678-80C5-4FCB-B1C9-718AF725A699}" name="DATUM" dataDxfId="1959">
      <calculatedColumnFormula>Fredag16</calculatedColumnFormula>
    </tableColumn>
    <tableColumn id="3" xr3:uid="{809823E8-BEA1-4E56-B5B8-C5AB69608A5D}" name="Tid1" dataDxfId="1960"/>
    <tableColumn id="4" xr3:uid="{35C4532D-948B-45FE-99AC-20D39003A552}" name="TID" dataDxfId="3713"/>
    <tableColumn id="5" xr3:uid="{D4288FA1-0AC8-44BB-8B22-89EE517E0C15}" name="ANTAL" dataDxfId="3712"/>
    <tableColumn id="6" xr3:uid="{99FAD291-21C5-40D4-9627-FC60FA05CA58}" name="GRUPP/LAG/SKOLA/ETC." dataDxfId="3711"/>
  </tableColumns>
  <tableStyleInfo name="Hallbokningsschema 2" showFirstColumn="0" showLastColumn="0" showRowStripes="0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8" xr:uid="{116958B2-C43D-42AC-A905-2555A6A1B106}" name="Tabell639465360818895102109116123130144151158165172179186193200207214221228235242249256263270277284291298305312319" displayName="Tabell639465360818895102109116123130144151158165172179186193200207214221228235242249256263270277284291298305312319" ref="A22:F23" totalsRowShown="0" headerRowDxfId="3710" dataDxfId="3709">
  <autoFilter ref="A22:F2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14A9996-1870-421E-ACB6-862483769FBD}" name="DAG" dataDxfId="1958">
      <calculatedColumnFormula>PROPER(TEXT(B23, "dddd"))</calculatedColumnFormula>
    </tableColumn>
    <tableColumn id="2" xr3:uid="{E43D9954-08EC-449D-9176-422904B30BB2}" name="DATUM" dataDxfId="1956">
      <calculatedColumnFormula>Lördag16</calculatedColumnFormula>
    </tableColumn>
    <tableColumn id="3" xr3:uid="{EC2CCA22-96E0-4E9E-B9D1-F64515CC0B3C}" name="Tid1" dataDxfId="1957"/>
    <tableColumn id="4" xr3:uid="{A9C92620-68F7-447D-BA40-AACCF6FF7CDB}" name="TID" dataDxfId="3708"/>
    <tableColumn id="5" xr3:uid="{B1639FC2-DF70-49B2-9379-68417CDB8874}" name="ANTAL" dataDxfId="3707"/>
    <tableColumn id="6" xr3:uid="{CA5688FA-0AE1-49FE-B526-5887EF680565}" name="GRUPP/LAG/SKOLA/ETC." dataDxfId="3706"/>
  </tableColumns>
  <tableStyleInfo name="Hallbokningsschema 2" showFirstColumn="0" showLastColumn="0" showRowStripes="0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9" xr:uid="{D536063B-38C6-4293-9B29-7041291A7266}" name="Tabell740475461828996103110117124131145152159166173180187194201208215222229236243250257264271278285292299306313320" displayName="Tabell740475461828996103110117124131145152159166173180187194201208215222229236243250257264271278285292299306313320" ref="A24:F25" totalsRowShown="0" headerRowDxfId="3705" dataDxfId="3704">
  <autoFilter ref="A24:F2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61F2E2E-0F1E-4A5E-A0E2-9F4D56F38389}" name="DAG" dataDxfId="1955">
      <calculatedColumnFormula>PROPER(TEXT(B25, "dddd"))</calculatedColumnFormula>
    </tableColumn>
    <tableColumn id="2" xr3:uid="{1F4C1698-8210-4127-A451-117BF6E699CA}" name="DATUM" dataDxfId="1953">
      <calculatedColumnFormula>Söndag16</calculatedColumnFormula>
    </tableColumn>
    <tableColumn id="3" xr3:uid="{D5A76310-829A-4D92-9994-82C6C9DD90A3}" name="Tid1" dataDxfId="1954"/>
    <tableColumn id="4" xr3:uid="{70EAFE4E-8C7A-496A-83D2-9663AEAD77BE}" name="TID" dataDxfId="3703"/>
    <tableColumn id="5" xr3:uid="{691BC68A-7DAA-49F6-9317-A2B560D13BED}" name="ANTAL" dataDxfId="3702"/>
    <tableColumn id="6" xr3:uid="{D3BE9A69-18F8-449F-9860-1500721B6219}" name="GRUPP/LAG/SKOLA/ETC." dataDxfId="3701"/>
  </tableColumns>
  <tableStyleInfo name="Hallbokningsschema 2" showFirstColumn="0" showLastColumn="0" showRowStripes="0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6" xr:uid="{D3DB1790-CEDE-48F6-B29E-F755A728A6B6}" name="Tabell13441485576839097104111118125139146153160167174181188195202209216223230237244251258265272279286293300307" displayName="Tabell13441485576839097104111118125139146153160167174181188195202209216223230237244251258265272279286293300307" ref="A2:F3" totalsRowShown="0" headerRowDxfId="3700" dataDxfId="3699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8841235-D8B3-4BD4-A7CB-2B784BD2123E}" name="DAG" dataDxfId="1952">
      <calculatedColumnFormula>PROPER(TEXT(B3, "dddd"))</calculatedColumnFormula>
    </tableColumn>
    <tableColumn id="2" xr3:uid="{E0BDFFFF-51F4-4303-A00B-CF9330CD7216}" name="DATUM" dataDxfId="1950">
      <calculatedColumnFormula>Måndag17</calculatedColumnFormula>
    </tableColumn>
    <tableColumn id="3" xr3:uid="{5200D789-2E30-45C5-AB60-7E847CAD57D2}" name="Tid1" dataDxfId="1951"/>
    <tableColumn id="4" xr3:uid="{335F15D1-9AC2-4AE5-B465-011B01D40E20}" name="TID" dataDxfId="3698"/>
    <tableColumn id="5" xr3:uid="{27EDF92F-92EC-4687-859B-E25D1D44E035}" name="ANTAL" dataDxfId="3697"/>
    <tableColumn id="6" xr3:uid="{5F4BC06C-56CE-4262-B30B-135F05D7B88B}" name="GRUPP/LAG/SKOLA/ETC." dataDxfId="3696"/>
  </tableColumns>
  <tableStyleInfo name="Hallbokningsschema 2" showFirstColumn="0" showLastColumn="0" showRowStripes="0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7" xr:uid="{7035B52A-64F7-49A9-A3BA-B52F7EB9CB0D}" name="Tabell23542495677849198105112119126140147154161168175182189196203210217224231238245252259266273280287294301308" displayName="Tabell23542495677849198105112119126140147154161168175182189196203210217224231238245252259266273280287294301308" ref="A4:F10" totalsRowShown="0" headerRowDxfId="3695" dataDxfId="3694">
  <autoFilter ref="A4:F10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5AA8403-C797-439B-84F1-F4DBA3F0D26C}" name="DAG" dataDxfId="1949">
      <calculatedColumnFormula>PROPER(TEXT(B5, "dddd"))</calculatedColumnFormula>
    </tableColumn>
    <tableColumn id="2" xr3:uid="{72127997-6BAD-40AB-B08D-0B9220609956}" name="DATUM" dataDxfId="1947">
      <calculatedColumnFormula>Tisdag17</calculatedColumnFormula>
    </tableColumn>
    <tableColumn id="3" xr3:uid="{2F01FD75-A14C-416B-9833-6070576E08E3}" name="Tid1" dataDxfId="1948"/>
    <tableColumn id="4" xr3:uid="{D759EB00-F220-4D2D-B972-EF4063762669}" name="TID" dataDxfId="3693"/>
    <tableColumn id="5" xr3:uid="{691ABE50-DBCE-4CAF-9D65-46262265A04E}" name="ANTAL" dataDxfId="3692"/>
    <tableColumn id="6" xr3:uid="{93222E90-0FD4-4CA2-B3F9-D85DEE6E7115}" name="GRUPP/LAG/SKOLA/ETC." dataDxfId="3691"/>
  </tableColumns>
  <tableStyleInfo name="Hallbokningsschema 2" showFirstColumn="0" showLastColumn="0" showRowStripes="0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8" xr:uid="{75AC953C-37FA-4F1F-8AAB-F01E82236DA1}" name="Tabell33643505778859299106113120127141148155162169176183190197204211218225232239246253260267274281288295302309" displayName="Tabell33643505778859299106113120127141148155162169176183190197204211218225232239246253260267274281288295302309" ref="A11:F18" totalsRowShown="0" headerRowDxfId="3690" dataDxfId="3689">
  <autoFilter ref="A11:F18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D07F31A-0E41-4D1E-A135-1A17007E7338}" name="DAG" dataDxfId="1946">
      <calculatedColumnFormula>PROPER(TEXT(B12, "dddd"))</calculatedColumnFormula>
    </tableColumn>
    <tableColumn id="2" xr3:uid="{11D2BADC-7277-42C8-902D-24A52943BB29}" name="DATUM" dataDxfId="1944">
      <calculatedColumnFormula>Onsdag17</calculatedColumnFormula>
    </tableColumn>
    <tableColumn id="3" xr3:uid="{1C0642B6-A5B7-4D4B-8798-3054FC8FA4D1}" name="Tid1" dataDxfId="1945"/>
    <tableColumn id="4" xr3:uid="{D42A9367-9B91-400A-AE70-435F7BBE52EE}" name="TID" dataDxfId="3688"/>
    <tableColumn id="5" xr3:uid="{936E4F17-93FE-4907-BA57-E3242EAA2A80}" name="ANTAL" dataDxfId="3687"/>
    <tableColumn id="6" xr3:uid="{230C0D91-C507-4F2B-BFF0-69742AA259EF}" name="GRUPP/LAG/SKOLA/ETC." dataDxfId="3686"/>
  </tableColumns>
  <tableStyleInfo name="Hallbokningsschema 2" showFirstColumn="0" showLastColumn="0" showRowStripes="0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9" xr:uid="{3B2F8F87-225F-4C6C-BEB5-0274D57CFB2F}" name="Tabell437445158798693100107114121128142149156163170177184191198205212219226233240247254261268275282289296303310" displayName="Tabell437445158798693100107114121128142149156163170177184191198205212219226233240247254261268275282289296303310" ref="A19:F24" totalsRowShown="0" headerRowDxfId="3685" dataDxfId="3684">
  <autoFilter ref="A19:F24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4BB6980-B938-4490-ABA0-AB30C3153E69}" name="DAG" dataDxfId="1943">
      <calculatedColumnFormula>PROPER(TEXT(B20, "dddd"))</calculatedColumnFormula>
    </tableColumn>
    <tableColumn id="2" xr3:uid="{B6103D5F-2E17-4FD2-B755-DE76FDAB8008}" name="DATUM" dataDxfId="1941">
      <calculatedColumnFormula>Torsdag17</calculatedColumnFormula>
    </tableColumn>
    <tableColumn id="3" xr3:uid="{D3CDAC15-562F-4D2C-AC9B-A7372AF50E81}" name="Tid1" dataDxfId="1942"/>
    <tableColumn id="4" xr3:uid="{529B297D-8F96-4608-8000-4672BE099022}" name="TID" dataDxfId="3683"/>
    <tableColumn id="5" xr3:uid="{E28E76E2-B6F3-4F03-97B7-11F6F1FAA505}" name="ANTAL" dataDxfId="3682"/>
    <tableColumn id="6" xr3:uid="{E750513C-6E9C-449C-A7F3-242B99084A00}" name="GRUPP/LAG/SKOLA/ETC." dataDxfId="3681"/>
  </tableColumns>
  <tableStyleInfo name="Hallbokningsschema 2" showFirstColumn="0" showLastColumn="0" showRowStripes="0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0" xr:uid="{8618BFE8-A7EE-4995-9400-67EEE05CDC75}" name="Tabell538455259808794101108115122129143150157164171178185192199206213220227234241248255262269276283290297304311" displayName="Tabell538455259808794101108115122129143150157164171178185192199206213220227234241248255262269276283290297304311" ref="A25:F29" totalsRowShown="0" headerRowDxfId="3680" dataDxfId="3679">
  <autoFilter ref="A25:F29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A83AF43-0D2A-4D59-B220-E634F844D107}" name="DAG" dataDxfId="1940">
      <calculatedColumnFormula>PROPER(TEXT(B26, "dddd"))</calculatedColumnFormula>
    </tableColumn>
    <tableColumn id="2" xr3:uid="{112E2691-A357-4308-9DC9-307DBD772C04}" name="DATUM" dataDxfId="1938">
      <calculatedColumnFormula>Fredag17</calculatedColumnFormula>
    </tableColumn>
    <tableColumn id="3" xr3:uid="{991A765E-10EC-4712-B620-9AB6BBDC5C5F}" name="Tid1" dataDxfId="1939"/>
    <tableColumn id="4" xr3:uid="{18BD3B1F-C9EB-49B6-AFCB-8297D2B03A45}" name="TID" dataDxfId="3678"/>
    <tableColumn id="5" xr3:uid="{E6C21959-9407-439E-8B96-27F4C285E920}" name="ANTAL" dataDxfId="3677"/>
    <tableColumn id="6" xr3:uid="{B1A12E21-3E58-431F-8DFF-A2B5401093C8}" name="GRUPP/LAG/SKOLA/ETC." dataDxfId="3676"/>
  </tableColumns>
  <tableStyleInfo name="Hallbokningsschema 2" showFirstColumn="0" showLastColumn="0" showRowStripes="0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1" xr:uid="{F774EBAB-8243-4857-9F7C-10264F2384B8}" name="Tabell639465360818895102109116123130144151158165172179186193200207214221228235242249256263270277284291298305312" displayName="Tabell639465360818895102109116123130144151158165172179186193200207214221228235242249256263270277284291298305312" ref="A30:F33" totalsRowShown="0" headerRowDxfId="3675" dataDxfId="3674">
  <autoFilter ref="A30:F3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3801AC1-2284-4151-89C2-257383AF48FD}" name="DAG" dataDxfId="1937">
      <calculatedColumnFormula>PROPER(TEXT(B31, "dddd"))</calculatedColumnFormula>
    </tableColumn>
    <tableColumn id="2" xr3:uid="{8E430EB8-E71F-488A-B1A4-0B66C83D2E66}" name="DATUM" dataDxfId="1935">
      <calculatedColumnFormula>Lördag17</calculatedColumnFormula>
    </tableColumn>
    <tableColumn id="3" xr3:uid="{12A48820-ACB0-4B4F-A671-50AD0F680DA4}" name="Tid1" dataDxfId="1936"/>
    <tableColumn id="4" xr3:uid="{6E414A2B-3193-4945-AB1D-1575EE88D2DF}" name="TID" dataDxfId="3673"/>
    <tableColumn id="5" xr3:uid="{AEC24FEC-191E-4A04-8402-95DC4732326E}" name="ANTAL" dataDxfId="3672"/>
    <tableColumn id="6" xr3:uid="{EB30674F-0AD0-465E-9B22-7729714E334D}" name="GRUPP/LAG/SKOLA/ETC." dataDxfId="3671"/>
  </tableColumns>
  <tableStyleInfo name="Hallbokningsschema 2" showFirstColumn="0" showLastColumn="0" showRowStripes="0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2" xr:uid="{58326BDC-202C-4812-B750-FC98721C8E68}" name="Tabell740475461828996103110117124131145152159166173180187194201208215222229236243250257264271278285292299306313" displayName="Tabell740475461828996103110117124131145152159166173180187194201208215222229236243250257264271278285292299306313" ref="A34:F35" totalsRowShown="0" headerRowDxfId="3670" dataDxfId="3669">
  <autoFilter ref="A34:F3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623FA00-9589-48AC-A61D-8BE6E2D1EAE1}" name="DAG" dataDxfId="1934">
      <calculatedColumnFormula>PROPER(TEXT(B35, "dddd"))</calculatedColumnFormula>
    </tableColumn>
    <tableColumn id="2" xr3:uid="{D984B014-35FE-471C-95D0-869C88B8182C}" name="DATUM" dataDxfId="1932">
      <calculatedColumnFormula>Söndag17</calculatedColumnFormula>
    </tableColumn>
    <tableColumn id="3" xr3:uid="{16BED2C9-EFF5-49E1-A517-42281917AB35}" name="Tid1" dataDxfId="1933"/>
    <tableColumn id="4" xr3:uid="{FA8309D7-CA26-471D-8EE3-67602A900C32}" name="TID" dataDxfId="3668"/>
    <tableColumn id="5" xr3:uid="{A1BC873F-B9DA-4426-92FD-99A71617AE47}" name="ANTAL" dataDxfId="3667"/>
    <tableColumn id="6" xr3:uid="{7216CE8F-AFA0-4DDC-8F77-A4F9697D240A}" name="GRUPP/LAG/SKOLA/ETC." dataDxfId="3666"/>
  </tableColumns>
  <tableStyleInfo name="Hallbokningsschema 2" showFirstColumn="0" showLastColumn="0" showRowStripes="0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9" xr:uid="{572CDE9A-8277-4221-9F0D-1F5068F71D85}" name="Tabell13441485576839097104111118125139146153160167174181188195202209216223230237244251258265272279286293300" displayName="Tabell13441485576839097104111118125139146153160167174181188195202209216223230237244251258265272279286293300" ref="A2:F5" totalsRowShown="0" headerRowDxfId="3665" dataDxfId="3664">
  <autoFilter ref="A2:F5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3253F80-C0E7-4BA1-8AF9-F9C568D49FCE}" name="DAG" dataDxfId="1931">
      <calculatedColumnFormula>PROPER(TEXT(B3, "dddd"))</calculatedColumnFormula>
    </tableColumn>
    <tableColumn id="2" xr3:uid="{932F98A6-D640-4929-A61C-63C617583EE7}" name="DATUM" dataDxfId="1929">
      <calculatedColumnFormula>Måndag18</calculatedColumnFormula>
    </tableColumn>
    <tableColumn id="3" xr3:uid="{0A31DBEA-5542-4D98-87AA-6763118635E9}" name="Tid1" dataDxfId="1930"/>
    <tableColumn id="4" xr3:uid="{334FB7C9-4E8A-4017-9056-51B897396B12}" name="TID" dataDxfId="3663"/>
    <tableColumn id="5" xr3:uid="{6A873EBF-80C0-4BEE-A00C-F3EB6E534DF7}" name="ANTAL" dataDxfId="3662"/>
    <tableColumn id="6" xr3:uid="{86B7D26D-CFE1-49C8-8EBE-029F09B5B538}" name="GRUPP/LAG/SKOLA/ETC." dataDxfId="3661"/>
  </tableColumns>
  <tableStyleInfo name="Hallbokningsschema 2" showFirstColumn="0" showLastColumn="0" showRowStripes="0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0" xr:uid="{1498E182-C406-40FD-A124-285F692F9D11}" name="Tabell23542495677849198105112119126140147154161168175182189196203210217224231238245252259266273280287294301" displayName="Tabell23542495677849198105112119126140147154161168175182189196203210217224231238245252259266273280287294301" ref="A6:F11" totalsRowShown="0" headerRowDxfId="3660" dataDxfId="3659">
  <autoFilter ref="A6:F11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275007D-1F10-4641-847B-E1194BBF7C1C}" name="DAG" dataDxfId="1928">
      <calculatedColumnFormula>PROPER(TEXT(B7, "dddd"))</calculatedColumnFormula>
    </tableColumn>
    <tableColumn id="2" xr3:uid="{117F9BEC-B1FC-40D6-91AE-714F8381362D}" name="DATUM" dataDxfId="1926">
      <calculatedColumnFormula>Tisdag18</calculatedColumnFormula>
    </tableColumn>
    <tableColumn id="3" xr3:uid="{B4F7A92D-AC08-43A3-8B3C-1E2A89718868}" name="Tid1" dataDxfId="1927"/>
    <tableColumn id="4" xr3:uid="{488109BF-138D-4F56-A00E-4A07B74168A9}" name="TID" dataDxfId="3658"/>
    <tableColumn id="5" xr3:uid="{E57FC424-D464-499D-9420-62B234ED2CAA}" name="ANTAL" dataDxfId="3657"/>
    <tableColumn id="6" xr3:uid="{BF52E98A-F521-40DB-9867-890AA101B0D0}" name="GRUPP/LAG/SKOLA/ETC." dataDxfId="3656"/>
  </tableColumns>
  <tableStyleInfo name="Hallbokningsschema 2" showFirstColumn="0" showLastColumn="0" showRowStripes="0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1" xr:uid="{1D1B4B48-13AE-4C2A-9288-8EF6A13E315A}" name="Tabell33643505778859299106113120127141148155162169176183190197204211218225232239246253260267274281288295302" displayName="Tabell33643505778859299106113120127141148155162169176183190197204211218225232239246253260267274281288295302" ref="A12:F17" totalsRowShown="0" headerRowDxfId="3655" dataDxfId="3654">
  <autoFilter ref="A12:F1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2BA668C-B5E3-4083-8B98-D12F7AF8CE3E}" name="DAG" dataDxfId="1925">
      <calculatedColumnFormula>PROPER(TEXT(B13, "dddd"))</calculatedColumnFormula>
    </tableColumn>
    <tableColumn id="2" xr3:uid="{48A2BD50-840B-41A1-99E3-7190A497CC50}" name="DATUM" dataDxfId="1923">
      <calculatedColumnFormula>Onsdag18</calculatedColumnFormula>
    </tableColumn>
    <tableColumn id="3" xr3:uid="{6D6EC648-DC86-45BF-A259-4B3757AC2D9C}" name="Tid1" dataDxfId="1924"/>
    <tableColumn id="4" xr3:uid="{7EF8FF58-009A-47BB-B7C9-50AA93269CC3}" name="TID" dataDxfId="3653"/>
    <tableColumn id="5" xr3:uid="{C08C159D-4881-4FFB-ABE8-00A6664BE21C}" name="ANTAL" dataDxfId="3652"/>
    <tableColumn id="6" xr3:uid="{015FFE04-8B5B-40B6-9CA6-52CB099C5BF6}" name="GRUPP/LAG/SKOLA/ETC." dataDxfId="3651"/>
  </tableColumns>
  <tableStyleInfo name="Hallbokningsschema 2" showFirstColumn="0" showLastColumn="0" showRowStripes="0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2" xr:uid="{860CCC59-40DD-470F-AB13-8232AF618C42}" name="Tabell437445158798693100107114121128142149156163170177184191198205212219226233240247254261268275282289296303" displayName="Tabell437445158798693100107114121128142149156163170177184191198205212219226233240247254261268275282289296303" ref="A18:F19" totalsRowShown="0" headerRowDxfId="3650" dataDxfId="3649">
  <autoFilter ref="A18:F1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7EE2B90-581A-4CF5-A9CE-8E1ED64D80A2}" name="DAG" dataDxfId="1922">
      <calculatedColumnFormula>PROPER(TEXT(B19, "dddd"))</calculatedColumnFormula>
    </tableColumn>
    <tableColumn id="2" xr3:uid="{C760F097-4AB6-47BD-997F-ED74D287598D}" name="DATUM" dataDxfId="1920">
      <calculatedColumnFormula>Torsdag18</calculatedColumnFormula>
    </tableColumn>
    <tableColumn id="3" xr3:uid="{BFEDF46D-2F2E-432D-98BC-5F4F23EB35AF}" name="Tid1" dataDxfId="1921"/>
    <tableColumn id="4" xr3:uid="{DFC5D9ED-12C6-41E6-B8F2-80EC580F8B10}" name="TID" dataDxfId="3648"/>
    <tableColumn id="5" xr3:uid="{E8E277AE-0A40-4A89-8378-04A028834124}" name="ANTAL" dataDxfId="3647"/>
    <tableColumn id="6" xr3:uid="{19F8993F-A055-4EFF-815D-44EDD7FFECF5}" name="GRUPP/LAG/SKOLA/ETC." dataDxfId="3646"/>
  </tableColumns>
  <tableStyleInfo name="Hallbokningsschema 2" showFirstColumn="0" showLastColumn="0" showRowStripes="0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3" xr:uid="{E0C643E9-197E-4B37-A226-DAAD9AE68FBC}" name="Tabell538455259808794101108115122129143150157164171178185192199206213220227234241248255262269276283290297304" displayName="Tabell538455259808794101108115122129143150157164171178185192199206213220227234241248255262269276283290297304" ref="A20:F23" totalsRowShown="0" headerRowDxfId="3645" dataDxfId="3644">
  <autoFilter ref="A20:F23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BFFE000-E596-4010-A9AB-CBF6AB13C75A}" name="DAG" dataDxfId="1919">
      <calculatedColumnFormula>PROPER(TEXT(B21, "dddd"))</calculatedColumnFormula>
    </tableColumn>
    <tableColumn id="2" xr3:uid="{30ECAF65-64F7-4412-A6B7-61C3A52F7759}" name="DATUM" dataDxfId="1917">
      <calculatedColumnFormula>Fredag18</calculatedColumnFormula>
    </tableColumn>
    <tableColumn id="3" xr3:uid="{21B7E9D8-5D17-4E36-BC48-8AF8DACE244D}" name="Tid1" dataDxfId="1918"/>
    <tableColumn id="4" xr3:uid="{E78BDFC8-271F-445E-917E-373BA15E7273}" name="TID" dataDxfId="3643"/>
    <tableColumn id="5" xr3:uid="{0D15859C-A861-4E06-AE60-57AAE2C8D3EB}" name="ANTAL" dataDxfId="3642"/>
    <tableColumn id="6" xr3:uid="{A11EB1A4-D09C-48A5-82F1-CB564C674ACD}" name="GRUPP/LAG/SKOLA/ETC." dataDxfId="3641"/>
  </tableColumns>
  <tableStyleInfo name="Hallbokningsschema 2" showFirstColumn="0" showLastColumn="0" showRowStripes="0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4" xr:uid="{25903D52-1E01-498C-A0D8-94902CC969FB}" name="Tabell639465360818895102109116123130144151158165172179186193200207214221228235242249256263270277284291298305" displayName="Tabell639465360818895102109116123130144151158165172179186193200207214221228235242249256263270277284291298305" ref="A24:F26" totalsRowShown="0" headerRowDxfId="3640" dataDxfId="3639">
  <autoFilter ref="A24:F26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BB53047-FD7A-4EE7-9A8D-E1FB208351B1}" name="DAG" dataDxfId="1916">
      <calculatedColumnFormula>PROPER(TEXT(B25, "dddd"))</calculatedColumnFormula>
    </tableColumn>
    <tableColumn id="2" xr3:uid="{20CA06C0-1877-4CB5-9867-B81DDB07E5E7}" name="DATUM" dataDxfId="1914">
      <calculatedColumnFormula>Lördag18</calculatedColumnFormula>
    </tableColumn>
    <tableColumn id="3" xr3:uid="{2B9783FD-3F84-4C67-8C36-A30B7EB96D9D}" name="Tid1" dataDxfId="1915"/>
    <tableColumn id="4" xr3:uid="{75CE4556-7E00-480A-9DE0-7CFE485F7971}" name="TID" dataDxfId="3638"/>
    <tableColumn id="5" xr3:uid="{54C639C3-F7C2-4B1B-AD75-2998D7EDC6C8}" name="ANTAL" dataDxfId="3637"/>
    <tableColumn id="6" xr3:uid="{FA0499C5-FFF8-434A-BC9E-53D5F88EF679}" name="GRUPP/LAG/SKOLA/ETC." dataDxfId="3636"/>
  </tableColumns>
  <tableStyleInfo name="Hallbokningsschema 2" showFirstColumn="0" showLastColumn="0" showRowStripes="0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5" xr:uid="{30763E05-9B0F-4B83-B6CC-76BD37FF1801}" name="Tabell740475461828996103110117124131145152159166173180187194201208215222229236243250257264271278285292299306" displayName="Tabell740475461828996103110117124131145152159166173180187194201208215222229236243250257264271278285292299306" ref="A27:F28" totalsRowShown="0" headerRowDxfId="3635" dataDxfId="3634">
  <autoFilter ref="A27:F28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6F9F08D-2F11-427F-911B-5F545841E6A9}" name="DAG" dataDxfId="1913">
      <calculatedColumnFormula>PROPER(TEXT(B28, "dddd"))</calculatedColumnFormula>
    </tableColumn>
    <tableColumn id="2" xr3:uid="{87A123B4-72EB-4DC0-89D0-5F8AD6CE3617}" name="DATUM" dataDxfId="1911">
      <calculatedColumnFormula>Söndag18</calculatedColumnFormula>
    </tableColumn>
    <tableColumn id="3" xr3:uid="{1487F614-9894-4709-8517-9E5E6BCB8848}" name="Tid1" dataDxfId="1912"/>
    <tableColumn id="4" xr3:uid="{B8E3DE26-94F3-4954-8F6E-68CF9C70EB53}" name="TID" dataDxfId="3633"/>
    <tableColumn id="5" xr3:uid="{5DF97B2C-2CC8-4191-860E-FC696530E8E6}" name="ANTAL" dataDxfId="3632"/>
    <tableColumn id="6" xr3:uid="{07CBC741-65EC-48E7-BEF4-82BA5F0A2183}" name="GRUPP/LAG/SKOLA/ETC." dataDxfId="3631"/>
  </tableColumns>
  <tableStyleInfo name="Hallbokningsschema 2" showFirstColumn="0" showLastColumn="0" showRowStripes="0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2" xr:uid="{AD187F54-4A78-4EEE-9A38-817548D9CE67}" name="Tabell13441485576839097104111118125139146153160167174181188195202209216223230237244251258265272279286293" displayName="Tabell13441485576839097104111118125139146153160167174181188195202209216223230237244251258265272279286293" ref="A2:F5" totalsRowShown="0" headerRowDxfId="3630" dataDxfId="3629">
  <autoFilter ref="A2:F5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0F2A248-E925-460A-8B0D-BE251A0E54A1}" name="DAG" dataDxfId="1910">
      <calculatedColumnFormula>PROPER(TEXT(B3, "dddd"))</calculatedColumnFormula>
    </tableColumn>
    <tableColumn id="2" xr3:uid="{3F79CC0E-4F11-4E8A-B0AD-661DF056B75A}" name="DATUM" dataDxfId="1908">
      <calculatedColumnFormula>Måndag19</calculatedColumnFormula>
    </tableColumn>
    <tableColumn id="3" xr3:uid="{B11155F6-70F4-4D8B-9CF2-3CAC7FF5B3C2}" name="Tid1" dataDxfId="1909"/>
    <tableColumn id="4" xr3:uid="{9261D484-F0F7-4CE8-B20A-36A7C78DF22F}" name="TID" dataDxfId="3628"/>
    <tableColumn id="5" xr3:uid="{4192A810-55C5-4AF0-A385-2EC532181E31}" name="ANTAL" dataDxfId="3627"/>
    <tableColumn id="6" xr3:uid="{7C8E1714-DA3B-498A-9B47-75FA5332CC79}" name="GRUPP/LAG/SKOLA/ETC." dataDxfId="3626"/>
  </tableColumns>
  <tableStyleInfo name="Hallbokningsschema 2" showFirstColumn="0" showLastColumn="0" showRowStripes="0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3" xr:uid="{D066949A-B41B-450D-90DD-B1BE30DA09EF}" name="Tabell23542495677849198105112119126140147154161168175182189196203210217224231238245252259266273280287294" displayName="Tabell23542495677849198105112119126140147154161168175182189196203210217224231238245252259266273280287294" ref="A6:F11" totalsRowShown="0" headerRowDxfId="3625" dataDxfId="3624">
  <autoFilter ref="A6:F11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03CD1A3-9CAE-41D7-B01B-D34CE1DBDDDC}" name="DAG" dataDxfId="1907">
      <calculatedColumnFormula>PROPER(TEXT(B7, "dddd"))</calculatedColumnFormula>
    </tableColumn>
    <tableColumn id="2" xr3:uid="{A0FE3F8F-5225-4066-B8C9-A5484EE5FFFE}" name="DATUM" dataDxfId="1905">
      <calculatedColumnFormula>Tisdag19</calculatedColumnFormula>
    </tableColumn>
    <tableColumn id="3" xr3:uid="{6312006F-D8C5-40E1-AC27-D205B7FE3917}" name="Tid1" dataDxfId="1906"/>
    <tableColumn id="4" xr3:uid="{438FB090-F647-43E0-9078-D5371E96399C}" name="TID" dataDxfId="3623"/>
    <tableColumn id="5" xr3:uid="{DC306BC4-767A-4DD8-8438-664E38CAE31A}" name="ANTAL" dataDxfId="3622"/>
    <tableColumn id="6" xr3:uid="{A39566A3-DFE8-47E6-9D92-DA03EAD505D5}" name="GRUPP/LAG/SKOLA/ETC." dataDxfId="3621"/>
  </tableColumns>
  <tableStyleInfo name="Hallbokningsschema 2" showFirstColumn="0" showLastColumn="0" showRowStripes="0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4" xr:uid="{EFFEE468-EDE5-47A5-AEEB-766CBC8127D6}" name="Tabell33643505778859299106113120127141148155162169176183190197204211218225232239246253260267274281288295" displayName="Tabell33643505778859299106113120127141148155162169176183190197204211218225232239246253260267274281288295" ref="A12:F17" totalsRowShown="0" headerRowDxfId="3620" dataDxfId="3619">
  <autoFilter ref="A12:F1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3:F17">
    <sortCondition ref="C13:C17"/>
  </sortState>
  <tableColumns count="6">
    <tableColumn id="1" xr3:uid="{5F2E5E03-251E-4DEC-911E-2EE6C8C40061}" name="DAG" dataDxfId="1904">
      <calculatedColumnFormula>PROPER(TEXT(B13, "dddd"))</calculatedColumnFormula>
    </tableColumn>
    <tableColumn id="2" xr3:uid="{A192E2F7-8D19-4374-93DB-AF7EA54D11EF}" name="DATUM" dataDxfId="1902">
      <calculatedColumnFormula>Onsdag19</calculatedColumnFormula>
    </tableColumn>
    <tableColumn id="3" xr3:uid="{47A5E14E-6F76-453E-9FD7-C492DD589D6F}" name="Tid1" dataDxfId="1903"/>
    <tableColumn id="4" xr3:uid="{A580ED93-5137-4D2E-8AD2-B92AF707CDD6}" name="TID" dataDxfId="3618"/>
    <tableColumn id="5" xr3:uid="{E5191016-C140-410E-A178-2B66F93CE9C0}" name="ANTAL" dataDxfId="3617"/>
    <tableColumn id="6" xr3:uid="{46E5BBCD-FF2A-42D7-A31A-281D8DB1D602}" name="GRUPP/LAG/SKOLA/ETC." dataDxfId="3616"/>
  </tableColumns>
  <tableStyleInfo name="Hallbokningsschema 2" showFirstColumn="0" showLastColumn="0" showRowStripes="0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5" xr:uid="{4F29A81A-DCFA-44F7-82F6-713A3050C47F}" name="Tabell437445158798693100107114121128142149156163170177184191198205212219226233240247254261268275282289296" displayName="Tabell437445158798693100107114121128142149156163170177184191198205212219226233240247254261268275282289296" ref="A18:F23" totalsRowShown="0" headerRowDxfId="3615" dataDxfId="3614">
  <autoFilter ref="A18:F23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9:F23">
    <sortCondition ref="C19:C23"/>
  </sortState>
  <tableColumns count="6">
    <tableColumn id="1" xr3:uid="{FD23F0B5-567C-4364-91E0-49DA2A880D86}" name="DAG" dataDxfId="1901">
      <calculatedColumnFormula>PROPER(TEXT(B19, "dddd"))</calculatedColumnFormula>
    </tableColumn>
    <tableColumn id="2" xr3:uid="{E88682D3-5592-4DB8-97B1-DBC0A8508B55}" name="DATUM" dataDxfId="1899">
      <calculatedColumnFormula>Torsdag19</calculatedColumnFormula>
    </tableColumn>
    <tableColumn id="3" xr3:uid="{1DB1FED3-A2E4-4441-8E6F-EAF55E375648}" name="Tid1" dataDxfId="1900"/>
    <tableColumn id="4" xr3:uid="{2035BFE2-6D50-483F-A1B7-4621145A2A7D}" name="TID" dataDxfId="3613"/>
    <tableColumn id="5" xr3:uid="{56B6FB01-452B-4788-82FF-57748B7B5E15}" name="ANTAL" dataDxfId="3612"/>
    <tableColumn id="6" xr3:uid="{EA1D5560-D0EB-456A-A926-E15B7DF1A8FF}" name="GRUPP/LAG/SKOLA/ETC." dataDxfId="3611"/>
  </tableColumns>
  <tableStyleInfo name="Hallbokningsschema 2" showFirstColumn="0" showLastColumn="0" showRowStripes="0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6" xr:uid="{7FBA161A-3F02-4F84-B5EC-7F948CB7B245}" name="Tabell538455259808794101108115122129143150157164171178185192199206213220227234241248255262269276283290297" displayName="Tabell538455259808794101108115122129143150157164171178185192199206213220227234241248255262269276283290297" ref="A24:F28" totalsRowShown="0" headerRowDxfId="3610" dataDxfId="3609">
  <autoFilter ref="A24:F28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A095B0C-F440-424B-A03B-48C9617135A9}" name="DAG" dataDxfId="1898">
      <calculatedColumnFormula>PROPER(TEXT(B25, "dddd"))</calculatedColumnFormula>
    </tableColumn>
    <tableColumn id="2" xr3:uid="{91DAD765-E9A1-4AA3-B901-423B0660618B}" name="DATUM" dataDxfId="1896">
      <calculatedColumnFormula>Fredag19</calculatedColumnFormula>
    </tableColumn>
    <tableColumn id="3" xr3:uid="{CEB3F7BC-A42B-4E3F-9A64-4DD6193A778D}" name="Tid1" dataDxfId="1897"/>
    <tableColumn id="4" xr3:uid="{F02E4AE4-6864-42EB-9AF3-8644953CC406}" name="TID" dataDxfId="3608"/>
    <tableColumn id="5" xr3:uid="{F12F84FF-C2D7-4247-9F4F-BE8906FAA06B}" name="ANTAL" dataDxfId="3607"/>
    <tableColumn id="6" xr3:uid="{817A8F49-7F49-47FE-9FF3-CD59F74CAD3E}" name="GRUPP/LAG/SKOLA/ETC." dataDxfId="3606"/>
  </tableColumns>
  <tableStyleInfo name="Hallbokningsschema 2" showFirstColumn="0" showLastColumn="0" showRowStripes="0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7" xr:uid="{414A96F2-9662-4FF0-ABBE-DEE1FC1252BB}" name="Tabell639465360818895102109116123130144151158165172179186193200207214221228235242249256263270277284291298" displayName="Tabell639465360818895102109116123130144151158165172179186193200207214221228235242249256263270277284291298" ref="A29:F30" totalsRowShown="0" headerRowDxfId="3605" dataDxfId="3604">
  <autoFilter ref="A29:F30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7B73119-7181-4D4E-BA1E-6274A8C8DFC7}" name="DAG" dataDxfId="1895">
      <calculatedColumnFormula>PROPER(TEXT(B30, "dddd"))</calculatedColumnFormula>
    </tableColumn>
    <tableColumn id="2" xr3:uid="{5348AC38-4F20-4791-B10A-8BABC3C6E03A}" name="DATUM" dataDxfId="1893">
      <calculatedColumnFormula>Lördag19</calculatedColumnFormula>
    </tableColumn>
    <tableColumn id="3" xr3:uid="{737D08BD-C291-41F9-BF12-C83D7311A24B}" name="Tid1" dataDxfId="1894"/>
    <tableColumn id="4" xr3:uid="{994442F9-4160-4AC9-82EF-EB1952113767}" name="TID" dataDxfId="3603"/>
    <tableColumn id="5" xr3:uid="{542B2CC8-8994-42BA-8003-00ACE41B6D74}" name="ANTAL" dataDxfId="3602"/>
    <tableColumn id="6" xr3:uid="{22F6190E-2017-448F-8AB6-C7449C4EA83B}" name="GRUPP/LAG/SKOLA/ETC." dataDxfId="3601"/>
  </tableColumns>
  <tableStyleInfo name="Hallbokningsschema 2" showFirstColumn="0" showLastColumn="0" showRowStripes="0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8" xr:uid="{FFD969B6-A413-4897-9192-071466585A93}" name="Tabell740475461828996103110117124131145152159166173180187194201208215222229236243250257264271278285292299" displayName="Tabell740475461828996103110117124131145152159166173180187194201208215222229236243250257264271278285292299" ref="A31:F32" totalsRowShown="0" headerRowDxfId="3600" dataDxfId="3599">
  <autoFilter ref="A31:F32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2030B0D-859D-4436-A82B-DED2B26C1B3C}" name="DAG" dataDxfId="1892">
      <calculatedColumnFormula>PROPER(TEXT(B32, "dddd"))</calculatedColumnFormula>
    </tableColumn>
    <tableColumn id="2" xr3:uid="{244E35A0-D08F-494F-A25C-0F4EB77C09EF}" name="DATUM" dataDxfId="1890">
      <calculatedColumnFormula>Söndag19</calculatedColumnFormula>
    </tableColumn>
    <tableColumn id="3" xr3:uid="{738391C9-074D-4E96-BA97-E69C14974689}" name="Tid1" dataDxfId="1891"/>
    <tableColumn id="4" xr3:uid="{AAAA36FC-E01C-4820-8B39-B317B0800766}" name="TID" dataDxfId="3598"/>
    <tableColumn id="5" xr3:uid="{D3EC8B49-9ECA-4118-B233-2AC1C6AA4EE9}" name="ANTAL" dataDxfId="3597"/>
    <tableColumn id="6" xr3:uid="{E7EA84A5-A9EA-4596-B5F9-4EAEAA2FEAC5}" name="GRUPP/LAG/SKOLA/ETC." dataDxfId="3596"/>
  </tableColumns>
  <tableStyleInfo name="Hallbokningsschema 2" showFirstColumn="0" showLastColumn="0" showRowStripes="0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5" xr:uid="{77C63AEB-1354-4AB7-AEB9-5117002A4294}" name="Tabell13441485576839097104111118125139146153160167174181188195202209216223230237244251258265272279286" displayName="Tabell13441485576839097104111118125139146153160167174181188195202209216223230237244251258265272279286" ref="A2:F3" totalsRowShown="0" headerRowDxfId="3595" dataDxfId="3594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FACD5F-84AC-473D-8235-50BD9EBC413A}" name="DAG" dataDxfId="1889">
      <calculatedColumnFormula>PROPER(TEXT(B3, "dddd"))</calculatedColumnFormula>
    </tableColumn>
    <tableColumn id="2" xr3:uid="{6F3BE0A9-5C59-468B-ACAD-0350D5F80AFD}" name="DATUM" dataDxfId="1887">
      <calculatedColumnFormula>Måndag20</calculatedColumnFormula>
    </tableColumn>
    <tableColumn id="3" xr3:uid="{C27730E3-B602-427D-AE7B-A700D6A59B48}" name="Tid1" dataDxfId="1888"/>
    <tableColumn id="4" xr3:uid="{40902797-2D24-475E-9148-33C888E9F98E}" name="TID" dataDxfId="3593"/>
    <tableColumn id="5" xr3:uid="{0D15C595-FAB3-44E4-AE61-28FBC2C97128}" name="ANTAL" dataDxfId="3592"/>
    <tableColumn id="6" xr3:uid="{D13FF5BF-299A-4558-BF9E-CD41EC617210}" name="GRUPP/LAG/SKOLA/ETC." dataDxfId="3591"/>
  </tableColumns>
  <tableStyleInfo name="Hallbokningsschema 2" showFirstColumn="0" showLastColumn="0" showRowStripes="0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6" xr:uid="{E729817F-54D8-4FA5-8557-786E5FDF00B1}" name="Tabell23542495677849198105112119126140147154161168175182189196203210217224231238245252259266273280287" displayName="Tabell23542495677849198105112119126140147154161168175182189196203210217224231238245252259266273280287" ref="A4:F8" totalsRowShown="0" headerRowDxfId="3590" dataDxfId="3589">
  <autoFilter ref="A4:F8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5D2907D-27C9-403B-814C-7C67D3E8A64D}" name="DAG" dataDxfId="1886">
      <calculatedColumnFormula>PROPER(TEXT(B5, "dddd"))</calculatedColumnFormula>
    </tableColumn>
    <tableColumn id="2" xr3:uid="{23F845F3-AFBD-412A-8BE2-3E37B5858C64}" name="DATUM" dataDxfId="1884">
      <calculatedColumnFormula>Tisdag20</calculatedColumnFormula>
    </tableColumn>
    <tableColumn id="3" xr3:uid="{7E4194B6-FA0E-4ABC-8A2C-431F12A8BB87}" name="Tid1" dataDxfId="1885"/>
    <tableColumn id="4" xr3:uid="{8EEBAF1F-F7AC-4B38-8780-5A1DEDAEBB46}" name="TID" dataDxfId="3588"/>
    <tableColumn id="5" xr3:uid="{A33CABB4-CB44-44FB-87A5-188BC4AB2A08}" name="ANTAL" dataDxfId="3587"/>
    <tableColumn id="6" xr3:uid="{FCBCF97D-CDF3-458A-BB49-FFE8BAD1E797}" name="GRUPP/LAG/SKOLA/ETC." dataDxfId="3586"/>
  </tableColumns>
  <tableStyleInfo name="Hallbokningsschema 2" showFirstColumn="0" showLastColumn="0" showRowStripes="0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7" xr:uid="{12E3395A-EB48-4090-99D9-B3526C15880B}" name="Tabell33643505778859299106113120127141148155162169176183190197204211218225232239246253260267274281288" displayName="Tabell33643505778859299106113120127141148155162169176183190197204211218225232239246253260267274281288" ref="A9:F14" totalsRowShown="0" headerRowDxfId="3585" dataDxfId="3584">
  <autoFilter ref="A9:F14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4DF7A94-F5E1-4092-A1B7-EF7DF799D2D6}" name="DAG" dataDxfId="1883">
      <calculatedColumnFormula>PROPER(TEXT(B10, "dddd"))</calculatedColumnFormula>
    </tableColumn>
    <tableColumn id="2" xr3:uid="{4FC5A1BC-FB51-4067-8910-AB3269A01DEE}" name="DATUM" dataDxfId="1881">
      <calculatedColumnFormula>Onsdag20</calculatedColumnFormula>
    </tableColumn>
    <tableColumn id="3" xr3:uid="{F4F40A79-5707-4247-B274-A17AAD34A1B6}" name="Tid1" dataDxfId="1882"/>
    <tableColumn id="4" xr3:uid="{6B60BD77-6F97-4370-89CC-05868974205B}" name="TID" dataDxfId="3583"/>
    <tableColumn id="5" xr3:uid="{6D229DCC-233F-498D-BFDA-C2665EB657B9}" name="ANTAL" dataDxfId="3582"/>
    <tableColumn id="6" xr3:uid="{9EE705C2-3ADD-4F0B-9A34-5000608622A4}" name="GRUPP/LAG/SKOLA/ETC." dataDxfId="3581"/>
  </tableColumns>
  <tableStyleInfo name="Hallbokningsschema 2" showFirstColumn="0" showLastColumn="0" showRowStripes="0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8" xr:uid="{985B52AD-17CB-4640-BC8D-CF90D9E5E125}" name="Tabell437445158798693100107114121128142149156163170177184191198205212219226233240247254261268275282289" displayName="Tabell437445158798693100107114121128142149156163170177184191198205212219226233240247254261268275282289" ref="A15:F20" totalsRowShown="0" headerRowDxfId="3580" dataDxfId="3579">
  <autoFilter ref="A15:F20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286689B-BC89-43D5-852C-D5D59949415A}" name="DAG" dataDxfId="1880">
      <calculatedColumnFormula>PROPER(TEXT(B16, "dddd"))</calculatedColumnFormula>
    </tableColumn>
    <tableColumn id="2" xr3:uid="{76650B43-227A-469E-8884-1A5DC7511B6D}" name="DATUM" dataDxfId="1878">
      <calculatedColumnFormula>Torsdag20</calculatedColumnFormula>
    </tableColumn>
    <tableColumn id="3" xr3:uid="{2BB0D5C5-0A71-489E-83CF-B6B4822D45FE}" name="Tid1" dataDxfId="1879"/>
    <tableColumn id="4" xr3:uid="{F14481DC-943E-439B-9E6F-BCDD2097FB9B}" name="TID" dataDxfId="3578"/>
    <tableColumn id="5" xr3:uid="{C8338325-9E97-44A6-9DD9-CBA5D91AF427}" name="ANTAL" dataDxfId="3577"/>
    <tableColumn id="6" xr3:uid="{850CD337-F33D-4351-9815-0F43C0334E6B}" name="GRUPP/LAG/SKOLA/ETC." dataDxfId="3576"/>
  </tableColumns>
  <tableStyleInfo name="Hallbokningsschema 2" showFirstColumn="0" showLastColumn="0" showRowStripes="0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9" xr:uid="{73AA1D94-A189-4EA3-AE04-AB1BA1A47E86}" name="Tabell538455259808794101108115122129143150157164171178185192199206213220227234241248255262269276283290" displayName="Tabell538455259808794101108115122129143150157164171178185192199206213220227234241248255262269276283290" ref="A21:F26" totalsRowShown="0" headerRowDxfId="3575" dataDxfId="3574">
  <autoFilter ref="A21:F26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2:F26">
    <sortCondition ref="C22:C26"/>
  </sortState>
  <tableColumns count="6">
    <tableColumn id="1" xr3:uid="{9FD70676-9C0B-4EC6-89F6-D2E6267314FA}" name="DAG" dataDxfId="1877">
      <calculatedColumnFormula>PROPER(TEXT(B22, "dddd"))</calculatedColumnFormula>
    </tableColumn>
    <tableColumn id="2" xr3:uid="{4BE928D7-25F4-4FA3-AA82-A294F89AD2DC}" name="DATUM" dataDxfId="1875">
      <calculatedColumnFormula>Fredag20</calculatedColumnFormula>
    </tableColumn>
    <tableColumn id="3" xr3:uid="{0B34107C-DD84-44FB-B5DB-3504E761B9A0}" name="Tid1" dataDxfId="1876"/>
    <tableColumn id="4" xr3:uid="{042AF7E6-6C22-4596-ABC4-C9ED1EA9118E}" name="TID" dataDxfId="3573"/>
    <tableColumn id="5" xr3:uid="{0CD60ED2-FB34-4F0F-B623-8730B5836860}" name="ANTAL" dataDxfId="3572"/>
    <tableColumn id="6" xr3:uid="{5B648967-75FE-4FAE-A4D0-7A6A0326299D}" name="GRUPP/LAG/SKOLA/ETC." dataDxfId="3571"/>
  </tableColumns>
  <tableStyleInfo name="Hallbokningsschema 2" showFirstColumn="0" showLastColumn="0" showRowStripes="0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0" xr:uid="{61E157AD-A4A2-4E3B-B3F4-468240409135}" name="Tabell639465360818895102109116123130144151158165172179186193200207214221228235242249256263270277284291" displayName="Tabell639465360818895102109116123130144151158165172179186193200207214221228235242249256263270277284291" ref="A27:F28" totalsRowShown="0" headerRowDxfId="3570" dataDxfId="3569">
  <autoFilter ref="A27:F28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7A4916E-3B1E-47FB-9933-C3EEB3C87B09}" name="DAG" dataDxfId="1874">
      <calculatedColumnFormula>PROPER(TEXT(B28, "dddd"))</calculatedColumnFormula>
    </tableColumn>
    <tableColumn id="2" xr3:uid="{FDF7FC7E-AD11-4AFA-8D29-066253F5F959}" name="DATUM" dataDxfId="1872">
      <calculatedColumnFormula>Lördag20</calculatedColumnFormula>
    </tableColumn>
    <tableColumn id="3" xr3:uid="{4262DD74-D6FA-4D0B-9CF2-B149A537AC3B}" name="Tid1" dataDxfId="1873"/>
    <tableColumn id="4" xr3:uid="{A86BB1C8-E0B7-414A-9BC5-B97D06CA97AC}" name="TID" dataDxfId="3568"/>
    <tableColumn id="5" xr3:uid="{CE23F607-289D-4C38-B243-A7E8CAE050A0}" name="ANTAL" dataDxfId="3567"/>
    <tableColumn id="6" xr3:uid="{974878D4-B6B6-41DE-9C5A-428E1468366C}" name="GRUPP/LAG/SKOLA/ETC." dataDxfId="3566"/>
  </tableColumns>
  <tableStyleInfo name="Hallbokningsschema 2" showFirstColumn="0" showLastColumn="0" showRowStripes="0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1" xr:uid="{74720893-D86F-4C7A-A221-93F5381C6E80}" name="Tabell740475461828996103110117124131145152159166173180187194201208215222229236243250257264271278285292" displayName="Tabell740475461828996103110117124131145152159166173180187194201208215222229236243250257264271278285292" ref="A29:F30" totalsRowShown="0" headerRowDxfId="3565" dataDxfId="3564">
  <autoFilter ref="A29:F30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F7BE0CE-0967-46C8-B644-FF625802B1F4}" name="DAG" dataDxfId="1871">
      <calculatedColumnFormula>PROPER(TEXT(B30, "dddd"))</calculatedColumnFormula>
    </tableColumn>
    <tableColumn id="2" xr3:uid="{04E55DC4-570A-44BF-B133-3CDC49FCF053}" name="DATUM" dataDxfId="1869">
      <calculatedColumnFormula>Söndag20</calculatedColumnFormula>
    </tableColumn>
    <tableColumn id="3" xr3:uid="{D543A908-6237-41CD-B344-2B18296EDE9A}" name="Tid1" dataDxfId="1870"/>
    <tableColumn id="4" xr3:uid="{F9276038-A6CF-459F-8500-0A6443A29CF7}" name="TID" dataDxfId="3563"/>
    <tableColumn id="5" xr3:uid="{D11E5D8A-DC20-4872-AD8A-15F9550F174D}" name="ANTAL" dataDxfId="3562"/>
    <tableColumn id="6" xr3:uid="{20DFD5B9-9D1A-40EC-9D97-52C1F978D6B5}" name="GRUPP/LAG/SKOLA/ETC." dataDxfId="3561"/>
  </tableColumns>
  <tableStyleInfo name="Hallbokningsschema 2" showFirstColumn="0" showLastColumn="0" showRowStripes="0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8" xr:uid="{BE708C74-0B5B-4338-A7EE-41C602804684}" name="Tabell13441485576839097104111118125139146153160167174181188195202209216223230237244251258265272279" displayName="Tabell13441485576839097104111118125139146153160167174181188195202209216223230237244251258265272279" ref="A2:F3" totalsRowShown="0" headerRowDxfId="3560" dataDxfId="3559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3C68F2A-B65B-4BBC-9FA7-ED304FE3CE2B}" name="DAG" dataDxfId="1868">
      <calculatedColumnFormula>PROPER(TEXT(B3, "dddd"))</calculatedColumnFormula>
    </tableColumn>
    <tableColumn id="2" xr3:uid="{191028DC-82AF-4517-9E12-744D0F899043}" name="DATUM" dataDxfId="1866">
      <calculatedColumnFormula>Måndag21</calculatedColumnFormula>
    </tableColumn>
    <tableColumn id="3" xr3:uid="{00835CE3-FC6A-4445-8339-6134D9D12492}" name="Tid1" dataDxfId="1867"/>
    <tableColumn id="4" xr3:uid="{E50EFD99-8D79-4E54-A8DE-95B8E9D56359}" name="TID" dataDxfId="3558"/>
    <tableColumn id="5" xr3:uid="{D68D99C4-6117-4819-ABB7-07F44B477D5B}" name="ANTAL" dataDxfId="3557"/>
    <tableColumn id="6" xr3:uid="{DC68560C-5FEB-4AA5-9AE3-BA623F1006B5}" name="GRUPP/LAG/SKOLA/ETC." dataDxfId="3556"/>
  </tableColumns>
  <tableStyleInfo name="Hallbokningsschema 2" showFirstColumn="0" showLastColumn="0" showRowStripes="0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9" xr:uid="{E4C73A72-DD00-4D32-8220-79DEA54CA9F4}" name="Tabell23542495677849198105112119126140147154161168175182189196203210217224231238245252259266273280" displayName="Tabell23542495677849198105112119126140147154161168175182189196203210217224231238245252259266273280" ref="A4:F6" totalsRowShown="0" headerRowDxfId="3555" dataDxfId="3554">
  <autoFilter ref="A4:F6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C677DD8-83F0-4E4E-895D-809E0757E9B9}" name="DAG" dataDxfId="1865">
      <calculatedColumnFormula>PROPER(TEXT(B5, "dddd"))</calculatedColumnFormula>
    </tableColumn>
    <tableColumn id="2" xr3:uid="{6576BE6C-B94D-4283-B4F2-0B671BA91093}" name="DATUM" dataDxfId="1863">
      <calculatedColumnFormula>Tisdag21</calculatedColumnFormula>
    </tableColumn>
    <tableColumn id="3" xr3:uid="{A1C6DDFC-45DA-41A1-A207-19EE63F36790}" name="Tid1" dataDxfId="1864"/>
    <tableColumn id="4" xr3:uid="{F1F878B7-D352-4D40-855E-525D0F749E15}" name="TID" dataDxfId="3553"/>
    <tableColumn id="5" xr3:uid="{818234E7-FC72-4FC6-8999-68C6ABF61C71}" name="ANTAL" dataDxfId="3552"/>
    <tableColumn id="6" xr3:uid="{3E4A5232-CC38-49B1-89FD-08AD47945531}" name="GRUPP/LAG/SKOLA/ETC." dataDxfId="3551"/>
  </tableColumns>
  <tableStyleInfo name="Hallbokningsschema 2" showFirstColumn="0" showLastColumn="0" showRowStripes="0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0" xr:uid="{6555917F-977B-4C1B-AA91-8A36080308C0}" name="Tabell33643505778859299106113120127141148155162169176183190197204211218225232239246253260267274281" displayName="Tabell33643505778859299106113120127141148155162169176183190197204211218225232239246253260267274281" ref="A7:F8" totalsRowShown="0" headerRowDxfId="3550" dataDxfId="3549">
  <autoFilter ref="A7:F8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38BDE70-1CD2-402D-BB7D-49EF7A72027F}" name="DAG" dataDxfId="1862">
      <calculatedColumnFormula>PROPER(TEXT(B8, "dddd"))</calculatedColumnFormula>
    </tableColumn>
    <tableColumn id="2" xr3:uid="{0DD1F2A9-1F75-4C6F-AE45-A8BEE15A877A}" name="DATUM" dataDxfId="1860">
      <calculatedColumnFormula>Onsdag21</calculatedColumnFormula>
    </tableColumn>
    <tableColumn id="3" xr3:uid="{22275F1C-5F87-4C87-9D60-872EE052CD33}" name="Tid1" dataDxfId="1861"/>
    <tableColumn id="4" xr3:uid="{A8C44F2C-F514-455A-BDB0-AC6B10545E8B}" name="TID" dataDxfId="3548"/>
    <tableColumn id="5" xr3:uid="{17394F08-DE73-47B1-975E-66A5F7AC4806}" name="ANTAL" dataDxfId="3547"/>
    <tableColumn id="6" xr3:uid="{83321663-2B33-4846-9A8D-66641EE70296}" name="GRUPP/LAG/SKOLA/ETC." dataDxfId="3546"/>
  </tableColumns>
  <tableStyleInfo name="Hallbokningsschema 2" showFirstColumn="0" showLastColumn="0" showRowStripes="0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1" xr:uid="{A5B58175-AA1F-4236-AD9E-B696913BD6B3}" name="Tabell437445158798693100107114121128142149156163170177184191198205212219226233240247254261268275282" displayName="Tabell437445158798693100107114121128142149156163170177184191198205212219226233240247254261268275282" ref="A9:F11" totalsRowShown="0" headerRowDxfId="3545" dataDxfId="3544">
  <autoFilter ref="A9:F11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ABCFB28-4F3B-4BF6-B2C1-DF284A38FDF1}" name="DAG" dataDxfId="1859">
      <calculatedColumnFormula>PROPER(TEXT(B10, "dddd"))</calculatedColumnFormula>
    </tableColumn>
    <tableColumn id="2" xr3:uid="{D9D155CA-0383-4893-80D8-B2006B812528}" name="DATUM" dataDxfId="1857">
      <calculatedColumnFormula>Torsdag21</calculatedColumnFormula>
    </tableColumn>
    <tableColumn id="3" xr3:uid="{5BFA7549-553D-4BF4-8609-FB9D3686D3AA}" name="Tid1" dataDxfId="1858"/>
    <tableColumn id="4" xr3:uid="{449B10D9-EDDF-485D-9F2D-0F1535B99C75}" name="TID" dataDxfId="3543"/>
    <tableColumn id="5" xr3:uid="{2E8EABC6-B1AC-42BD-95E5-4DBB5D0AFFC1}" name="ANTAL" dataDxfId="3542"/>
    <tableColumn id="6" xr3:uid="{78810891-BD48-4EBD-B28B-637E8C267F55}" name="GRUPP/LAG/SKOLA/ETC." dataDxfId="3541"/>
  </tableColumns>
  <tableStyleInfo name="Hallbokningsschema 2" showFirstColumn="0" showLastColumn="0" showRowStripes="0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2" xr:uid="{AD3A4403-BF01-4BE6-B14C-242CC65DA7A0}" name="Tabell538455259808794101108115122129143150157164171178185192199206213220227234241248255262269276283" displayName="Tabell538455259808794101108115122129143150157164171178185192199206213220227234241248255262269276283" ref="A12:F14" totalsRowShown="0" headerRowDxfId="3540" dataDxfId="3539">
  <autoFilter ref="A12:F14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3:F14">
    <sortCondition ref="C13:C14"/>
  </sortState>
  <tableColumns count="6">
    <tableColumn id="1" xr3:uid="{73C71872-0ECB-451B-820C-628E39D8FA40}" name="DAG" dataDxfId="1856">
      <calculatedColumnFormula>PROPER(TEXT(B13, "dddd"))</calculatedColumnFormula>
    </tableColumn>
    <tableColumn id="2" xr3:uid="{88326598-A463-490A-B355-3C0F2E6FFA04}" name="DATUM" dataDxfId="1854">
      <calculatedColumnFormula>Fredag21</calculatedColumnFormula>
    </tableColumn>
    <tableColumn id="3" xr3:uid="{69FD4264-1C21-4ABD-91B7-E08E1F745D97}" name="Tid1" dataDxfId="1855"/>
    <tableColumn id="4" xr3:uid="{9EAAF4DE-6BC6-46E7-A953-E108E2F8F305}" name="TID" dataDxfId="3538"/>
    <tableColumn id="5" xr3:uid="{9894091F-1158-404F-A6A7-E801A5C2B03D}" name="ANTAL" dataDxfId="3537"/>
    <tableColumn id="6" xr3:uid="{236FEC58-B988-4744-957C-9366E2158702}" name="GRUPP/LAG/SKOLA/ETC." dataDxfId="3536"/>
  </tableColumns>
  <tableStyleInfo name="Hallbokningsschema 2" showFirstColumn="0" showLastColumn="0" showRowStripes="0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3" xr:uid="{E2EC607E-15F5-4471-90F7-59E56F59FDE4}" name="Tabell639465360818895102109116123130144151158165172179186193200207214221228235242249256263270277284" displayName="Tabell639465360818895102109116123130144151158165172179186193200207214221228235242249256263270277284" ref="A15:F18" totalsRowShown="0" headerRowDxfId="3535" dataDxfId="3534">
  <autoFilter ref="A15:F18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6:F18">
    <sortCondition ref="C16:C18"/>
  </sortState>
  <tableColumns count="6">
    <tableColumn id="1" xr3:uid="{5A06461E-D563-4903-9979-CEFA8D13C9B8}" name="DAG" dataDxfId="1853">
      <calculatedColumnFormula>PROPER(TEXT(B16, "dddd"))</calculatedColumnFormula>
    </tableColumn>
    <tableColumn id="2" xr3:uid="{84F7A985-27F8-4E23-B2AB-F1784CD519AE}" name="DATUM" dataDxfId="1851">
      <calculatedColumnFormula>Lördag21</calculatedColumnFormula>
    </tableColumn>
    <tableColumn id="3" xr3:uid="{59D105E6-30BC-45EE-8F5A-32BB899D1493}" name="Tid1" dataDxfId="1852"/>
    <tableColumn id="4" xr3:uid="{FD294343-5766-4CE2-80BC-E4F2ADE836DD}" name="TID" dataDxfId="3533"/>
    <tableColumn id="5" xr3:uid="{E383BCDC-6A62-40FB-B57D-0316CAD56AD3}" name="ANTAL" dataDxfId="3532"/>
    <tableColumn id="6" xr3:uid="{BD3D1A0C-267A-44E6-AABD-032E6B34E783}" name="GRUPP/LAG/SKOLA/ETC." dataDxfId="3531"/>
  </tableColumns>
  <tableStyleInfo name="Hallbokningsschema 2" showFirstColumn="0" showLastColumn="0" showRowStripes="0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4" xr:uid="{D730AB5F-8DFC-487A-BA76-A3FBD23F3826}" name="Tabell740475461828996103110117124131145152159166173180187194201208215222229236243250257264271278285" displayName="Tabell740475461828996103110117124131145152159166173180187194201208215222229236243250257264271278285" ref="A19:F20" totalsRowShown="0" headerRowDxfId="3530" dataDxfId="3529">
  <autoFilter ref="A19:F20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18E48D9-17E3-4E98-B760-330378CBC9E5}" name="DAG" dataDxfId="1850">
      <calculatedColumnFormula>PROPER(TEXT(B20, "dddd"))</calculatedColumnFormula>
    </tableColumn>
    <tableColumn id="2" xr3:uid="{497D8BBC-1530-4F6E-B9E5-E0306934D1BC}" name="DATUM" dataDxfId="1848">
      <calculatedColumnFormula>Söndag21</calculatedColumnFormula>
    </tableColumn>
    <tableColumn id="3" xr3:uid="{6EDAC3FB-15A3-4329-9878-CD0083C21136}" name="Tid1" dataDxfId="1849"/>
    <tableColumn id="4" xr3:uid="{621AAEEE-E62E-4B0B-820F-D28DE0E33A6D}" name="TID" dataDxfId="3528"/>
    <tableColumn id="5" xr3:uid="{BFE6781C-B189-4C03-B218-77BDF114BDFB}" name="ANTAL" dataDxfId="3527"/>
    <tableColumn id="6" xr3:uid="{84ED7309-8D80-4188-8396-29D4C7F6B0C4}" name="GRUPP/LAG/SKOLA/ETC." dataDxfId="3526"/>
  </tableColumns>
  <tableStyleInfo name="Hallbokningsschema 2" showFirstColumn="0" showLastColumn="0" showRowStripes="0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1" xr:uid="{3973F3AE-117F-4470-AF90-1DF28E3B5B56}" name="Tabell13441485576839097104111118125139146153160167174181188195202209216223230237244251258265272" displayName="Tabell13441485576839097104111118125139146153160167174181188195202209216223230237244251258265272" ref="A2:F4" totalsRowShown="0" headerRowDxfId="3525" dataDxfId="3524">
  <autoFilter ref="A2:F4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4">
    <sortCondition ref="C3:C4"/>
  </sortState>
  <tableColumns count="6">
    <tableColumn id="1" xr3:uid="{71054001-DD20-4BC1-B187-3AE44DD49612}" name="DAG" dataDxfId="1847">
      <calculatedColumnFormula>PROPER(TEXT(B3, "dddd"))</calculatedColumnFormula>
    </tableColumn>
    <tableColumn id="2" xr3:uid="{C4EA38C9-B34C-4DC1-9143-A405AECCE143}" name="DATUM" dataDxfId="1845">
      <calculatedColumnFormula>Måndag22</calculatedColumnFormula>
    </tableColumn>
    <tableColumn id="3" xr3:uid="{4EE19DB5-9901-4875-BB12-761D2E97C858}" name="Tid1" dataDxfId="1846"/>
    <tableColumn id="4" xr3:uid="{D0EDB234-B4FB-4A67-B59F-53717CA5E648}" name="TID" dataDxfId="3523"/>
    <tableColumn id="5" xr3:uid="{9931FD16-F3EC-4464-BD77-2A14073649FA}" name="ANTAL" dataDxfId="3522"/>
    <tableColumn id="6" xr3:uid="{AE47E3F8-B303-488B-A112-4EAA15340763}" name="GRUPP/LAG/SKOLA/ETC." dataDxfId="3521"/>
  </tableColumns>
  <tableStyleInfo name="Hallbokningsschema 2" showFirstColumn="0" showLastColumn="0" showRowStripes="0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2" xr:uid="{AC239D59-C39E-4913-95BF-E77D57E2DB9C}" name="Tabell23542495677849198105112119126140147154161168175182189196203210217224231238245252259266273" displayName="Tabell23542495677849198105112119126140147154161168175182189196203210217224231238245252259266273" ref="A5:F8" totalsRowShown="0" headerRowDxfId="3520" dataDxfId="3519">
  <autoFilter ref="A5:F8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6:F8">
    <sortCondition ref="C6:C8"/>
  </sortState>
  <tableColumns count="6">
    <tableColumn id="1" xr3:uid="{9D680BD2-50A1-4BD8-A36C-E1F651AA3342}" name="DAG" dataDxfId="1844">
      <calculatedColumnFormula>PROPER(TEXT(B6, "dddd"))</calculatedColumnFormula>
    </tableColumn>
    <tableColumn id="2" xr3:uid="{B0995F31-3408-4EDD-89B8-EFF7080C26F0}" name="DATUM" dataDxfId="1842">
      <calculatedColumnFormula>Tisdag22</calculatedColumnFormula>
    </tableColumn>
    <tableColumn id="3" xr3:uid="{EED44BEB-7046-497F-945E-38A124423BCF}" name="Tid1" dataDxfId="1843"/>
    <tableColumn id="4" xr3:uid="{5FCF6715-9198-4291-83B0-4DA3EC5694A3}" name="TID" dataDxfId="3518"/>
    <tableColumn id="5" xr3:uid="{2CF5AB2D-0B13-4984-A443-6D53A866C3B0}" name="ANTAL" dataDxfId="3517"/>
    <tableColumn id="6" xr3:uid="{8759A193-366F-4FA3-81C3-FB11C05FB4B2}" name="GRUPP/LAG/SKOLA/ETC." dataDxfId="3516"/>
  </tableColumns>
  <tableStyleInfo name="Hallbokningsschema 2" showFirstColumn="0" showLastColumn="0" showRowStripes="0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3" xr:uid="{4D657FBD-0CAF-411B-BF0C-9A5717BAD579}" name="Tabell33643505778859299106113120127141148155162169176183190197204211218225232239246253260267274" displayName="Tabell33643505778859299106113120127141148155162169176183190197204211218225232239246253260267274" ref="A9:F11" totalsRowShown="0" headerRowDxfId="3515" dataDxfId="3514">
  <autoFilter ref="A9:F11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0:F11">
    <sortCondition ref="C10:C11"/>
  </sortState>
  <tableColumns count="6">
    <tableColumn id="1" xr3:uid="{4D47EAE6-C204-415D-9634-8F06FCF1A75A}" name="DAG" dataDxfId="1841">
      <calculatedColumnFormula>PROPER(TEXT(B10, "dddd"))</calculatedColumnFormula>
    </tableColumn>
    <tableColumn id="2" xr3:uid="{3EA8B41C-B070-4D95-B0BA-3524DDAD0B9E}" name="DATUM" dataDxfId="1839">
      <calculatedColumnFormula>Onsdag22</calculatedColumnFormula>
    </tableColumn>
    <tableColumn id="3" xr3:uid="{D7F5427F-CDF2-4566-A0C2-FE2AE47FCD63}" name="Tid1" dataDxfId="1840"/>
    <tableColumn id="4" xr3:uid="{AF7EC254-5F90-45FF-ACC2-6BE8DC7FA260}" name="TID" dataDxfId="3513"/>
    <tableColumn id="5" xr3:uid="{8646FA99-7B9C-4875-9BF3-63647EA26E46}" name="ANTAL" dataDxfId="3512"/>
    <tableColumn id="6" xr3:uid="{E55047D3-FC17-4DE7-831E-990DA24DD7FA}" name="GRUPP/LAG/SKOLA/ETC." dataDxfId="3511"/>
  </tableColumns>
  <tableStyleInfo name="Hallbokningsschema 2" showFirstColumn="0" showLastColumn="0" showRowStripes="0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4" xr:uid="{C59AA91D-BBBA-43F4-AE59-B8208DA26232}" name="Tabell437445158798693100107114121128142149156163170177184191198205212219226233240247254261268275" displayName="Tabell437445158798693100107114121128142149156163170177184191198205212219226233240247254261268275" ref="A12:F13" totalsRowShown="0" headerRowDxfId="3510" dataDxfId="3509">
  <autoFilter ref="A12:F13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FBC3655-B2FC-474F-B841-7E94FEAE450D}" name="DAG" dataDxfId="1838">
      <calculatedColumnFormula>PROPER(TEXT(B13, "dddd"))</calculatedColumnFormula>
    </tableColumn>
    <tableColumn id="2" xr3:uid="{B9CC431E-73B0-4CD1-B1D3-A07AA3ACB6C3}" name="DATUM" dataDxfId="1836">
      <calculatedColumnFormula>Torsdag22</calculatedColumnFormula>
    </tableColumn>
    <tableColumn id="3" xr3:uid="{1F77EF89-665F-407B-BB03-6C05885C8899}" name="Tid1" dataDxfId="1837"/>
    <tableColumn id="4" xr3:uid="{B92F4A88-50AB-4A94-A3EB-9C2A95ACAA66}" name="TID" dataDxfId="3508"/>
    <tableColumn id="5" xr3:uid="{8FF1CD7A-5575-4AA7-A60A-E363E51F6C37}" name="ANTAL" dataDxfId="3507"/>
    <tableColumn id="6" xr3:uid="{D068F3D3-20C2-4129-AA19-EAD6D2A4670A}" name="GRUPP/LAG/SKOLA/ETC." dataDxfId="3506"/>
  </tableColumns>
  <tableStyleInfo name="Hallbokningsschema 2" showFirstColumn="0" showLastColumn="0" showRowStripes="0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5" xr:uid="{154D3CDD-830A-465F-94A7-537767A14F4C}" name="Tabell538455259808794101108115122129143150157164171178185192199206213220227234241248255262269276" displayName="Tabell538455259808794101108115122129143150157164171178185192199206213220227234241248255262269276" ref="A14:F16" totalsRowShown="0" headerRowDxfId="3505" dataDxfId="3504">
  <autoFilter ref="A14:F16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5:F16">
    <sortCondition ref="C15:C16"/>
  </sortState>
  <tableColumns count="6">
    <tableColumn id="1" xr3:uid="{45D31B61-EC77-4715-AAEC-58CF18167FD2}" name="DAG" dataDxfId="1835">
      <calculatedColumnFormula>PROPER(TEXT(B15, "dddd"))</calculatedColumnFormula>
    </tableColumn>
    <tableColumn id="2" xr3:uid="{90C1F02E-ED26-41AC-BB48-C22E4BD1819D}" name="DATUM" dataDxfId="1833">
      <calculatedColumnFormula>Fredag22</calculatedColumnFormula>
    </tableColumn>
    <tableColumn id="3" xr3:uid="{82B6910A-D65B-47CF-83C8-2B1392229894}" name="Tid1" dataDxfId="1834"/>
    <tableColumn id="4" xr3:uid="{1A842CC4-FE4B-4DB8-9CB7-0AE2DB61FF5E}" name="TID" dataDxfId="3503"/>
    <tableColumn id="5" xr3:uid="{3BFAC7EE-4880-4F4D-8DBB-10B7EEFCC935}" name="ANTAL" dataDxfId="3502"/>
    <tableColumn id="6" xr3:uid="{C252CC61-0464-4529-9227-D5D5B0A86ABF}" name="GRUPP/LAG/SKOLA/ETC." dataDxfId="3501"/>
  </tableColumns>
  <tableStyleInfo name="Hallbokningsschema 2" showFirstColumn="0" showLastColumn="0" showRowStripes="0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6" xr:uid="{355FB4D9-7E9D-4D99-AA11-EF4021EEFDFE}" name="Tabell639465360818895102109116123130144151158165172179186193200207214221228235242249256263270277" displayName="Tabell639465360818895102109116123130144151158165172179186193200207214221228235242249256263270277" ref="A17:F18" totalsRowShown="0" headerRowDxfId="3500" dataDxfId="3499">
  <autoFilter ref="A17:F18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782DB1A-0679-4A30-91C0-60558F79966A}" name="DAG" dataDxfId="1832">
      <calculatedColumnFormula>PROPER(TEXT(B18, "dddd"))</calculatedColumnFormula>
    </tableColumn>
    <tableColumn id="2" xr3:uid="{EE5B48FE-911F-4203-8F0C-21E642D4EFAE}" name="DATUM" dataDxfId="1830">
      <calculatedColumnFormula>Lördag22</calculatedColumnFormula>
    </tableColumn>
    <tableColumn id="3" xr3:uid="{88318C46-64B9-4A88-BE59-C5336C35620D}" name="Tid1" dataDxfId="1831"/>
    <tableColumn id="4" xr3:uid="{E4416384-EBBA-4B1C-9752-2D0299CB111D}" name="TID" dataDxfId="3498"/>
    <tableColumn id="5" xr3:uid="{92415C5F-20B6-412C-90EE-8E7A8A93B781}" name="ANTAL" dataDxfId="3497"/>
    <tableColumn id="6" xr3:uid="{771ACCC3-DF1D-4D51-B6A7-5FAC502DAD81}" name="GRUPP/LAG/SKOLA/ETC." dataDxfId="3496"/>
  </tableColumns>
  <tableStyleInfo name="Hallbokningsschema 2" showFirstColumn="0" showLastColumn="0" showRowStripes="0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7" xr:uid="{8CB7140E-6785-4173-BABF-963E84F0FFEF}" name="Tabell740475461828996103110117124131145152159166173180187194201208215222229236243250257264271278" displayName="Tabell740475461828996103110117124131145152159166173180187194201208215222229236243250257264271278" ref="A19:F20" totalsRowShown="0" headerRowDxfId="3495" dataDxfId="3494">
  <autoFilter ref="A19:F20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D71A59F-D95E-4BCE-B2D8-61CB1574E727}" name="DAG" dataDxfId="1829">
      <calculatedColumnFormula>PROPER(TEXT(B20, "dddd"))</calculatedColumnFormula>
    </tableColumn>
    <tableColumn id="2" xr3:uid="{B243309F-74A1-473B-A1E5-D43FACA13044}" name="DATUM" dataDxfId="1827">
      <calculatedColumnFormula>Söndag22</calculatedColumnFormula>
    </tableColumn>
    <tableColumn id="3" xr3:uid="{9D1B41AA-7F0B-4252-851A-902CBD214F25}" name="Tid1" dataDxfId="1828"/>
    <tableColumn id="4" xr3:uid="{BA905079-07D6-4572-8465-319796C9EBA0}" name="TID" dataDxfId="3493"/>
    <tableColumn id="5" xr3:uid="{D5F433BA-07A2-4700-9920-F18DBC413ED2}" name="ANTAL" dataDxfId="3492"/>
    <tableColumn id="6" xr3:uid="{46C0E5D8-CA94-4DB8-BB53-A1ABC5B367CA}" name="GRUPP/LAG/SKOLA/ETC." dataDxfId="3491"/>
  </tableColumns>
  <tableStyleInfo name="Hallbokningsschema 2" showFirstColumn="0" showLastColumn="0" showRowStripes="0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4" xr:uid="{BAD119C6-5C1F-44EB-9445-3C4C5DC8ED91}" name="Tabell13441485576839097104111118125139146153160167174181188195202209216223230237244251258265" displayName="Tabell13441485576839097104111118125139146153160167174181188195202209216223230237244251258265" ref="A2:F3" totalsRowShown="0" headerRowDxfId="3490" dataDxfId="3489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F28B3F9-B2CA-4A5A-A6B5-179A9DC9830B}" name="DAG" dataDxfId="1826">
      <calculatedColumnFormula>PROPER(TEXT(B3, "dddd"))</calculatedColumnFormula>
    </tableColumn>
    <tableColumn id="2" xr3:uid="{9952A995-319D-457B-8723-7644D6C455B5}" name="DATUM" dataDxfId="1824">
      <calculatedColumnFormula>Måndag23</calculatedColumnFormula>
    </tableColumn>
    <tableColumn id="3" xr3:uid="{7629B51B-C082-4181-805B-237E8101B18F}" name="Tid1" dataDxfId="1825"/>
    <tableColumn id="4" xr3:uid="{43817361-958C-46D6-96A0-E8F2350FA63B}" name="TID" dataDxfId="3488"/>
    <tableColumn id="5" xr3:uid="{0D77FD98-2381-48B8-B5C0-CE01D9734D87}" name="ANTAL" dataDxfId="3487"/>
    <tableColumn id="6" xr3:uid="{AA8EA57D-DC1D-45E3-AE33-C5F5053B884F}" name="GRUPP/LAG/SKOLA/ETC." dataDxfId="3486"/>
  </tableColumns>
  <tableStyleInfo name="Hallbokningsschema 2" showFirstColumn="0" showLastColumn="0" showRowStripes="0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5" xr:uid="{D8208346-3207-44F4-ADF1-21BC3F29923C}" name="Tabell23542495677849198105112119126140147154161168175182189196203210217224231238245252259266" displayName="Tabell23542495677849198105112119126140147154161168175182189196203210217224231238245252259266" ref="A4:F6" totalsRowShown="0" headerRowDxfId="3485" dataDxfId="3484">
  <autoFilter ref="A4:F6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EF7AE13-EE0E-461A-AE6C-83803175DE44}" name="DAG" dataDxfId="1823">
      <calculatedColumnFormula>PROPER(TEXT(B5, "dddd"))</calculatedColumnFormula>
    </tableColumn>
    <tableColumn id="2" xr3:uid="{2C79E46A-86D7-4C7B-B060-48E1998C8A46}" name="DATUM" dataDxfId="1821">
      <calculatedColumnFormula>Tisdag23</calculatedColumnFormula>
    </tableColumn>
    <tableColumn id="3" xr3:uid="{CA0AA4E5-9BA4-45F8-B808-A9E5B10F5E91}" name="Tid1" dataDxfId="1822"/>
    <tableColumn id="4" xr3:uid="{2303BFD8-B331-496E-A34E-7F3F7E66DAFD}" name="TID" dataDxfId="3483"/>
    <tableColumn id="5" xr3:uid="{BE68BE90-9886-4800-940A-3007404C97B1}" name="ANTAL" dataDxfId="3482"/>
    <tableColumn id="6" xr3:uid="{19925587-7BA8-4E92-BA2B-3E7DC801279B}" name="GRUPP/LAG/SKOLA/ETC." dataDxfId="3481"/>
  </tableColumns>
  <tableStyleInfo name="Hallbokningsschema 2" showFirstColumn="0" showLastColumn="0" showRowStripes="0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6" xr:uid="{CA663984-1FE9-4CB6-8AD8-EC633D0FCA53}" name="Tabell33643505778859299106113120127141148155162169176183190197204211218225232239246253260267" displayName="Tabell33643505778859299106113120127141148155162169176183190197204211218225232239246253260267" ref="A7:F8" totalsRowShown="0" headerRowDxfId="3480" dataDxfId="3479">
  <autoFilter ref="A7:F8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9BB348D-1104-4555-9A2B-EED0CCD6A724}" name="DAG" dataDxfId="1820">
      <calculatedColumnFormula>PROPER(TEXT(B8, "dddd"))</calculatedColumnFormula>
    </tableColumn>
    <tableColumn id="2" xr3:uid="{1D37F6F0-363B-4BCE-A442-57CC09AFD5CD}" name="DATUM" dataDxfId="1818">
      <calculatedColumnFormula>Onsdag23</calculatedColumnFormula>
    </tableColumn>
    <tableColumn id="3" xr3:uid="{DBACEA9C-453C-4ABB-A193-E5BA4B6F8DC5}" name="Tid1" dataDxfId="1819"/>
    <tableColumn id="4" xr3:uid="{891E67EF-4575-4CD9-96A1-59FE30B8B30D}" name="TID" dataDxfId="3478"/>
    <tableColumn id="5" xr3:uid="{F8E92242-C7E4-4E4E-A517-8624AB940268}" name="ANTAL" dataDxfId="3477"/>
    <tableColumn id="6" xr3:uid="{AB3B81EB-B4DC-40B4-9397-6C1158F076EA}" name="GRUPP/LAG/SKOLA/ETC." dataDxfId="3476"/>
  </tableColumns>
  <tableStyleInfo name="Hallbokningsschema 2" showFirstColumn="0" showLastColumn="0" showRowStripes="0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7" xr:uid="{22963B13-5913-4C43-86CC-2B5C87A6A398}" name="Tabell437445158798693100107114121128142149156163170177184191198205212219226233240247254261268" displayName="Tabell437445158798693100107114121128142149156163170177184191198205212219226233240247254261268" ref="A9:F11" totalsRowShown="0" headerRowDxfId="3475" dataDxfId="3474">
  <autoFilter ref="A9:F11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16103A3-23E8-4DA3-89B5-B20DBA1C83FB}" name="DAG" dataDxfId="1817">
      <calculatedColumnFormula>PROPER(TEXT(B10, "dddd"))</calculatedColumnFormula>
    </tableColumn>
    <tableColumn id="2" xr3:uid="{2592AFE2-6F3D-47FF-9A69-35BE5EEFB669}" name="DATUM" dataDxfId="1815">
      <calculatedColumnFormula>Torsdag23</calculatedColumnFormula>
    </tableColumn>
    <tableColumn id="3" xr3:uid="{976ADDFC-A482-4593-B92B-5BB49051733A}" name="Tid1" dataDxfId="1816"/>
    <tableColumn id="4" xr3:uid="{43AA203A-2BFD-4066-80FA-2121EC759C6D}" name="TID" dataDxfId="3473"/>
    <tableColumn id="5" xr3:uid="{70908314-D380-454E-91A9-969478F26AE7}" name="ANTAL" dataDxfId="3472"/>
    <tableColumn id="6" xr3:uid="{084B742C-0699-4FD6-BD12-6DAAA10536C2}" name="GRUPP/LAG/SKOLA/ETC." dataDxfId="3471"/>
  </tableColumns>
  <tableStyleInfo name="Hallbokningsschema 2" showFirstColumn="0" showLastColumn="0" showRowStripes="0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8" xr:uid="{77DE6646-6F0D-48B0-ABDE-D82BE94F501B}" name="Tabell538455259808794101108115122129143150157164171178185192199206213220227234241248255262269" displayName="Tabell538455259808794101108115122129143150157164171178185192199206213220227234241248255262269" ref="A12:F13" totalsRowShown="0" headerRowDxfId="3470" dataDxfId="3469">
  <autoFilter ref="A12:F13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4B6A288-C039-454D-B327-D1B9B3170E65}" name="DAG" dataDxfId="1814">
      <calculatedColumnFormula>PROPER(TEXT(B13, "dddd"))</calculatedColumnFormula>
    </tableColumn>
    <tableColumn id="2" xr3:uid="{9CC064F6-F4C9-4394-801D-A6549FBE90AC}" name="DATUM" dataDxfId="1812">
      <calculatedColumnFormula>Fredag23</calculatedColumnFormula>
    </tableColumn>
    <tableColumn id="3" xr3:uid="{EC36FAF7-64E8-49C8-BCDF-7C0258B7AD70}" name="Tid1" dataDxfId="1813"/>
    <tableColumn id="4" xr3:uid="{41301754-9EB4-4F26-8D16-9D36560B7494}" name="TID" dataDxfId="3468"/>
    <tableColumn id="5" xr3:uid="{8CDFADF6-DB4F-497F-BC5B-67990C015235}" name="ANTAL" dataDxfId="3467"/>
    <tableColumn id="6" xr3:uid="{10AC5E6C-EB2D-47CC-9D69-38DCDA6BAE9B}" name="GRUPP/LAG/SKOLA/ETC." dataDxfId="3466"/>
  </tableColumns>
  <tableStyleInfo name="Hallbokningsschema 2" showFirstColumn="0" showLastColumn="0" showRowStripes="0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9" xr:uid="{0F619EF2-59A9-457A-B9B2-016DCEE86AF3}" name="Tabell639465360818895102109116123130144151158165172179186193200207214221228235242249256263270" displayName="Tabell639465360818895102109116123130144151158165172179186193200207214221228235242249256263270" ref="A14:F15" totalsRowShown="0" headerRowDxfId="3465" dataDxfId="3464">
  <autoFilter ref="A14:F15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703AB08-41BF-4C37-A430-73D65B3C3005}" name="DAG" dataDxfId="1811">
      <calculatedColumnFormula>PROPER(TEXT(B15, "dddd"))</calculatedColumnFormula>
    </tableColumn>
    <tableColumn id="2" xr3:uid="{B416E3F1-D95C-44D9-BE42-534F1A15A2D6}" name="DATUM" dataDxfId="1809">
      <calculatedColumnFormula>Lördag23</calculatedColumnFormula>
    </tableColumn>
    <tableColumn id="3" xr3:uid="{1F17D31F-AE22-4CC7-A45B-12A19941149A}" name="Tid1" dataDxfId="1810"/>
    <tableColumn id="4" xr3:uid="{E649A7F7-AA93-465B-B758-F1591C9830E0}" name="TID" dataDxfId="3463"/>
    <tableColumn id="5" xr3:uid="{2C7E9FA7-E3EC-408A-8939-71FAC56B6519}" name="ANTAL" dataDxfId="3462"/>
    <tableColumn id="6" xr3:uid="{4249F1FF-EDCF-49C1-8BA2-4B6A46297B35}" name="GRUPP/LAG/SKOLA/ETC." dataDxfId="3461"/>
  </tableColumns>
  <tableStyleInfo name="Hallbokningsschema 2" showFirstColumn="0" showLastColumn="0" showRowStripes="0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0" xr:uid="{013559F4-A2D0-4CBE-A629-055400F9849F}" name="Tabell740475461828996103110117124131145152159166173180187194201208215222229236243250257264271" displayName="Tabell740475461828996103110117124131145152159166173180187194201208215222229236243250257264271" ref="A16:F17" totalsRowShown="0" headerRowDxfId="3460" dataDxfId="3459">
  <autoFilter ref="A16:F17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C36DD76-94D0-4A68-BE94-1E71DDB71137}" name="DAG" dataDxfId="1808">
      <calculatedColumnFormula>PROPER(TEXT(B17, "dddd"))</calculatedColumnFormula>
    </tableColumn>
    <tableColumn id="2" xr3:uid="{C8B6072B-484A-48F2-9033-A1FBABE0F827}" name="DATUM" dataDxfId="1806">
      <calculatedColumnFormula>Söndag23</calculatedColumnFormula>
    </tableColumn>
    <tableColumn id="3" xr3:uid="{816407D6-B166-43CE-8D19-11E2D0EAE982}" name="Tid1" dataDxfId="1807"/>
    <tableColumn id="4" xr3:uid="{D4550595-0E25-4A8C-A8EA-957A18070A96}" name="TID" dataDxfId="3458"/>
    <tableColumn id="5" xr3:uid="{F0900AA2-AA93-43F1-AA9F-6B6AD43D67C2}" name="ANTAL" dataDxfId="3457"/>
    <tableColumn id="6" xr3:uid="{A20C7841-6AD3-405D-B132-DCCEBB08CD7C}" name="GRUPP/LAG/SKOLA/ETC." dataDxfId="3456"/>
  </tableColumns>
  <tableStyleInfo name="Hallbokningsschema 2" showFirstColumn="0" showLastColumn="0" showRowStripes="0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7" xr:uid="{8FA8FD48-90E3-4C02-947A-E9A983808872}" name="Tabell13441485576839097104111118125139146153160167174181188195202209216223230237244251258" displayName="Tabell13441485576839097104111118125139146153160167174181188195202209216223230237244251258" ref="A2:F3" totalsRowShown="0" headerRowDxfId="3455" dataDxfId="3454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AF57830-95BE-4381-B480-5B35E7BEF7B2}" name="DAG" dataDxfId="1805">
      <calculatedColumnFormula>PROPER(TEXT(B3, "dddd"))</calculatedColumnFormula>
    </tableColumn>
    <tableColumn id="2" xr3:uid="{7B834DC3-E495-4D13-901F-E0EB3C4D9929}" name="DATUM" dataDxfId="1803">
      <calculatedColumnFormula>Måndag24</calculatedColumnFormula>
    </tableColumn>
    <tableColumn id="3" xr3:uid="{BF39D422-756F-4F21-ABBD-24C477B7AC8A}" name="Tid1" dataDxfId="1804"/>
    <tableColumn id="4" xr3:uid="{53FE26C0-BCF1-473E-AFC5-5A21512784D3}" name="TID" dataDxfId="3453"/>
    <tableColumn id="5" xr3:uid="{B77E3F7A-D1F7-4F9B-BF63-CF25DA6BCBD8}" name="ANTAL" dataDxfId="3452"/>
    <tableColumn id="6" xr3:uid="{D3774DA4-3CEC-41E3-8978-C6BD783B05A6}" name="GRUPP/LAG/SKOLA/ETC." dataDxfId="3451"/>
  </tableColumns>
  <tableStyleInfo name="Hallbokningsschema 2" showFirstColumn="0" showLastColumn="0" showRowStripes="0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8" xr:uid="{0D74332F-166B-49F7-952E-B7AE57C4AEAD}" name="Tabell23542495677849198105112119126140147154161168175182189196203210217224231238245252259" displayName="Tabell23542495677849198105112119126140147154161168175182189196203210217224231238245252259" ref="A4:F6" totalsRowShown="0" headerRowDxfId="3450" dataDxfId="3449">
  <autoFilter ref="A4:F6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7940A7B-112D-411C-8472-DE4440047F0C}" name="DAG" dataDxfId="1802">
      <calculatedColumnFormula>PROPER(TEXT(B5, "dddd"))</calculatedColumnFormula>
    </tableColumn>
    <tableColumn id="2" xr3:uid="{089D7CAA-655A-407E-942B-F874C1AAF61D}" name="DATUM" dataDxfId="1800">
      <calculatedColumnFormula>Tisdag24</calculatedColumnFormula>
    </tableColumn>
    <tableColumn id="3" xr3:uid="{0F3D054E-6DFE-41AC-8D86-DD589B3A1314}" name="Tid1" dataDxfId="1801"/>
    <tableColumn id="4" xr3:uid="{DDE7A7DE-7E69-4605-B2F3-8407A35127AB}" name="TID" dataDxfId="3448"/>
    <tableColumn id="5" xr3:uid="{615745A5-125D-4F03-BAE3-3512DB49C859}" name="ANTAL" dataDxfId="3447"/>
    <tableColumn id="6" xr3:uid="{96D56C4F-2F0A-48C0-895E-E73C6750B50F}" name="GRUPP/LAG/SKOLA/ETC." dataDxfId="3446"/>
  </tableColumns>
  <tableStyleInfo name="Hallbokningsschema 2" showFirstColumn="0" showLastColumn="0" showRowStripes="0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9" xr:uid="{AC6C1E9B-943E-4B7E-936D-59B84DCCE94B}" name="Tabell33643505778859299106113120127141148155162169176183190197204211218225232239246253260" displayName="Tabell33643505778859299106113120127141148155162169176183190197204211218225232239246253260" ref="A7:F8" totalsRowShown="0" headerRowDxfId="3445" dataDxfId="3444">
  <autoFilter ref="A7:F8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ADA91A3-6D0C-4D33-ACCE-52794CD70661}" name="DAG" dataDxfId="1799">
      <calculatedColumnFormula>PROPER(TEXT(B8, "dddd"))</calculatedColumnFormula>
    </tableColumn>
    <tableColumn id="2" xr3:uid="{53268802-CA12-4822-AFFB-BFE7ED6B711B}" name="DATUM" dataDxfId="1797">
      <calculatedColumnFormula>Onsdag24</calculatedColumnFormula>
    </tableColumn>
    <tableColumn id="3" xr3:uid="{F2010546-10BE-481E-8027-4313EA043A25}" name="Tid1" dataDxfId="1798"/>
    <tableColumn id="4" xr3:uid="{A44A4B81-AEC0-4DF7-B1FE-513C32B146CE}" name="TID" dataDxfId="3443"/>
    <tableColumn id="5" xr3:uid="{6B6EBEED-9ADA-4DEE-91CC-96666DC9E67F}" name="ANTAL" dataDxfId="3442"/>
    <tableColumn id="6" xr3:uid="{00866AC3-C0D5-41C7-9CE2-509CAA6A7833}" name="GRUPP/LAG/SKOLA/ETC." dataDxfId="3441"/>
  </tableColumns>
  <tableStyleInfo name="Hallbokningsschema 2" showFirstColumn="0" showLastColumn="0" showRowStripes="0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0" xr:uid="{035A1051-1C3B-497D-960D-306DB5E76922}" name="Tabell437445158798693100107114121128142149156163170177184191198205212219226233240247254261" displayName="Tabell437445158798693100107114121128142149156163170177184191198205212219226233240247254261" ref="A9:F10" totalsRowShown="0" headerRowDxfId="3440" dataDxfId="3439">
  <autoFilter ref="A9:F10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FCE43BC-5E4F-44F3-9DBC-4AC388012700}" name="DAG" dataDxfId="1796">
      <calculatedColumnFormula>PROPER(TEXT(B10, "dddd"))</calculatedColumnFormula>
    </tableColumn>
    <tableColumn id="2" xr3:uid="{22926018-FE1B-4051-A835-B0EEFDF46E05}" name="DATUM" dataDxfId="1794">
      <calculatedColumnFormula>Torsdag24</calculatedColumnFormula>
    </tableColumn>
    <tableColumn id="3" xr3:uid="{588F4C25-40C5-4AE1-BD04-CBE7CC339AE3}" name="Tid1" dataDxfId="1795"/>
    <tableColumn id="4" xr3:uid="{14B2F972-36E9-4A1D-9771-4742379982AC}" name="TID" dataDxfId="3438"/>
    <tableColumn id="5" xr3:uid="{1A1DD72B-F75D-482F-9C99-591310B5A3C2}" name="ANTAL" dataDxfId="3437"/>
    <tableColumn id="6" xr3:uid="{B6C5544F-50C4-4946-93DC-6C88B4446F23}" name="GRUPP/LAG/SKOLA/ETC." dataDxfId="3436"/>
  </tableColumns>
  <tableStyleInfo name="Hallbokningsschema 2" showFirstColumn="0" showLastColumn="0" showRowStripes="0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1" xr:uid="{63B1CCC7-1C85-481C-A687-B800849DA701}" name="Tabell538455259808794101108115122129143150157164171178185192199206213220227234241248255262" displayName="Tabell538455259808794101108115122129143150157164171178185192199206213220227234241248255262" ref="A11:F13" totalsRowShown="0" headerRowDxfId="3435" dataDxfId="3434">
  <autoFilter ref="A11:F13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9E8B8C9-2770-4FC7-AB2A-E46FD1EC858F}" name="DAG" dataDxfId="1793">
      <calculatedColumnFormula>PROPER(TEXT(B12, "dddd"))</calculatedColumnFormula>
    </tableColumn>
    <tableColumn id="2" xr3:uid="{84B83455-095F-459F-A641-565770A61F4F}" name="DATUM" dataDxfId="1791">
      <calculatedColumnFormula>Fredag24</calculatedColumnFormula>
    </tableColumn>
    <tableColumn id="3" xr3:uid="{9A4B2B47-BA26-41C2-AF33-4A206CADE95A}" name="Tid1" dataDxfId="1792"/>
    <tableColumn id="4" xr3:uid="{16A9483B-739D-4178-9DA8-E2A6DF8D9543}" name="TID" dataDxfId="3433"/>
    <tableColumn id="5" xr3:uid="{16F97FDB-F5BE-45E1-AACF-3EA381EB76AD}" name="ANTAL" dataDxfId="3432"/>
    <tableColumn id="6" xr3:uid="{7FDA8491-EC5D-44F8-96ED-1AF34418B62B}" name="GRUPP/LAG/SKOLA/ETC." dataDxfId="3431"/>
  </tableColumns>
  <tableStyleInfo name="Hallbokningsschema 2" showFirstColumn="0" showLastColumn="0" showRowStripes="0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2" xr:uid="{36A26529-137E-4669-B779-B72C81472C7D}" name="Tabell639465360818895102109116123130144151158165172179186193200207214221228235242249256263" displayName="Tabell639465360818895102109116123130144151158165172179186193200207214221228235242249256263" ref="A14:F15" totalsRowShown="0" headerRowDxfId="3430" dataDxfId="3429">
  <autoFilter ref="A14:F15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6B13244-4244-4FE5-A8E8-9A41581773F3}" name="DAG" dataDxfId="1790">
      <calculatedColumnFormula>PROPER(TEXT(B15, "dddd"))</calculatedColumnFormula>
    </tableColumn>
    <tableColumn id="2" xr3:uid="{C59431DF-EB77-4DAB-B9D9-756B47DDC7B3}" name="DATUM" dataDxfId="1788">
      <calculatedColumnFormula>Lördag24</calculatedColumnFormula>
    </tableColumn>
    <tableColumn id="3" xr3:uid="{D4ADAC0A-7D7C-4FA8-A9F2-FA91FDF9AEE1}" name="Tid1" dataDxfId="1789"/>
    <tableColumn id="4" xr3:uid="{A3F2D753-0AE6-48E8-BB5D-F2F505E47932}" name="TID" dataDxfId="3428"/>
    <tableColumn id="5" xr3:uid="{5C8DD1E3-0F56-4E8E-B38B-63151CD40973}" name="ANTAL" dataDxfId="3427"/>
    <tableColumn id="6" xr3:uid="{0D2C5611-56C8-4249-B9CA-F6601AA38A6F}" name="GRUPP/LAG/SKOLA/ETC." dataDxfId="3426"/>
  </tableColumns>
  <tableStyleInfo name="Hallbokningsschema 2" showFirstColumn="0" showLastColumn="0" showRowStripes="0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3" xr:uid="{AF9599FF-75E3-4F60-A7B8-0C0ED7374FF3}" name="Tabell740475461828996103110117124131145152159166173180187194201208215222229236243250257264" displayName="Tabell740475461828996103110117124131145152159166173180187194201208215222229236243250257264" ref="A16:F17" totalsRowShown="0" headerRowDxfId="3425" dataDxfId="3424">
  <autoFilter ref="A16:F17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EA57FD6-0D51-4F3C-B862-183885CDD90A}" name="DAG" dataDxfId="1787">
      <calculatedColumnFormula>PROPER(TEXT(B17, "dddd"))</calculatedColumnFormula>
    </tableColumn>
    <tableColumn id="2" xr3:uid="{39DD3FDE-FBEE-48A7-B898-A5DC049E59AB}" name="DATUM" dataDxfId="1785">
      <calculatedColumnFormula>Söndag24</calculatedColumnFormula>
    </tableColumn>
    <tableColumn id="3" xr3:uid="{43CD6792-3D85-42F5-B7F3-86540EBF2996}" name="Tid1" dataDxfId="1786"/>
    <tableColumn id="4" xr3:uid="{AE606CF8-0132-43D0-84B4-E3EAC45720E9}" name="TID" dataDxfId="3423"/>
    <tableColumn id="5" xr3:uid="{86FD9DC2-22F0-4B39-AA2B-3DBED022032E}" name="ANTAL" dataDxfId="3422"/>
    <tableColumn id="6" xr3:uid="{636B4641-90D0-446A-A871-E3F0175EB7D2}" name="GRUPP/LAG/SKOLA/ETC." dataDxfId="3421"/>
  </tableColumns>
  <tableStyleInfo name="Hallbokningsschema 2" showFirstColumn="0" showLastColumn="0" showRowStripes="0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0" xr:uid="{404D55DF-4272-4747-990F-453B8FDBB09E}" name="Tabell13441485576839097104111118125139146153160167174181188195202209216223230237244251" displayName="Tabell13441485576839097104111118125139146153160167174181188195202209216223230237244251" ref="A2:F3" totalsRowShown="0" headerRowDxfId="3420" dataDxfId="3419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9BAD5DE-7550-4EDF-99B9-EFD338642E96}" name="DAG" dataDxfId="1784">
      <calculatedColumnFormula>PROPER(TEXT(B3, "dddd"))</calculatedColumnFormula>
    </tableColumn>
    <tableColumn id="2" xr3:uid="{3FD5D029-02B1-4C16-9616-5C540E5AB99F}" name="DATUM" dataDxfId="1782">
      <calculatedColumnFormula>Måndag25</calculatedColumnFormula>
    </tableColumn>
    <tableColumn id="3" xr3:uid="{793246A4-C609-4417-A70F-9226A53591DD}" name="Tid1" dataDxfId="1783"/>
    <tableColumn id="4" xr3:uid="{56810DF2-1C86-484C-85F5-C658D41F8406}" name="TID" dataDxfId="3418"/>
    <tableColumn id="5" xr3:uid="{48FFAC06-AFC9-4BA1-88AE-53ED97268D22}" name="ANTAL" dataDxfId="3417"/>
    <tableColumn id="6" xr3:uid="{DD247142-8203-4293-944C-EA0FD9BDDC8F}" name="GRUPP/LAG/SKOLA/ETC." dataDxfId="3416"/>
  </tableColumns>
  <tableStyleInfo name="Hallbokningsschema 2" showFirstColumn="0" showLastColumn="0" showRowStripes="0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1" xr:uid="{4E596ADC-9478-4F97-BB83-4EBE470937ED}" name="Tabell23542495677849198105112119126140147154161168175182189196203210217224231238245252" displayName="Tabell23542495677849198105112119126140147154161168175182189196203210217224231238245252" ref="A4:F5" totalsRowShown="0" headerRowDxfId="3415" dataDxfId="3414">
  <autoFilter ref="A4:F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7B4EC44-7924-4652-8874-EAC5D93A9097}" name="DAG" dataDxfId="1781">
      <calculatedColumnFormula>PROPER(TEXT(B5, "dddd"))</calculatedColumnFormula>
    </tableColumn>
    <tableColumn id="2" xr3:uid="{6BB1CAA2-E060-457B-A19B-7E34BBD55B7D}" name="DATUM" dataDxfId="1779">
      <calculatedColumnFormula>Tisdag25</calculatedColumnFormula>
    </tableColumn>
    <tableColumn id="3" xr3:uid="{74C9124D-5D47-4AE3-982E-0E5169AB83B2}" name="Tid1" dataDxfId="1780"/>
    <tableColumn id="4" xr3:uid="{55EDDDA2-EAD9-4F58-B6C6-942A29A2FED6}" name="TID" dataDxfId="3413"/>
    <tableColumn id="5" xr3:uid="{0DE55E0A-EC24-4620-8F15-FBDDDFA5F1EE}" name="ANTAL" dataDxfId="3412"/>
    <tableColumn id="6" xr3:uid="{6A3183A7-688F-4649-B9DF-2B12195021DD}" name="GRUPP/LAG/SKOLA/ETC." dataDxfId="3411"/>
  </tableColumns>
  <tableStyleInfo name="Hallbokningsschema 2" showFirstColumn="0" showLastColumn="0" showRowStripes="0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2" xr:uid="{8AB5015D-DC3D-49FB-ABF1-1AECAC4D06A6}" name="Tabell33643505778859299106113120127141148155162169176183190197204211218225232239246253" displayName="Tabell33643505778859299106113120127141148155162169176183190197204211218225232239246253" ref="A6:F7" totalsRowShown="0" headerRowDxfId="3410" dataDxfId="3409">
  <autoFilter ref="A6:F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D369B4C-C02A-464A-94F3-135AAF733C21}" name="DAG" dataDxfId="1778">
      <calculatedColumnFormula>PROPER(TEXT(B7, "dddd"))</calculatedColumnFormula>
    </tableColumn>
    <tableColumn id="2" xr3:uid="{62AF4A45-4B46-468C-AF53-C26CDCE7EBA2}" name="DATUM" dataDxfId="1776">
      <calculatedColumnFormula>Onsdag25</calculatedColumnFormula>
    </tableColumn>
    <tableColumn id="3" xr3:uid="{08B842BA-08D3-4EF3-999A-E3CA0ED5DF3D}" name="Tid1" dataDxfId="1777"/>
    <tableColumn id="4" xr3:uid="{23FB5EF8-EC03-49AA-AF17-F69F467F8C6C}" name="TID" dataDxfId="3408"/>
    <tableColumn id="5" xr3:uid="{F1BAF2E0-E84D-4B4D-9628-B4A2B691EC9A}" name="ANTAL" dataDxfId="3407"/>
    <tableColumn id="6" xr3:uid="{583E6962-F2DE-4C16-AB8C-7CFC844E899E}" name="GRUPP/LAG/SKOLA/ETC." dataDxfId="3406"/>
  </tableColumns>
  <tableStyleInfo name="Hallbokningsschema 2" showFirstColumn="0" showLastColumn="0" showRowStripes="0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3" xr:uid="{A752356A-A198-42BB-8724-8B41BEA42076}" name="Tabell437445158798693100107114121128142149156163170177184191198205212219226233240247254" displayName="Tabell437445158798693100107114121128142149156163170177184191198205212219226233240247254" ref="A8:F9" totalsRowShown="0" headerRowDxfId="3405" dataDxfId="3404">
  <autoFilter ref="A8:F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A30B873-CAD4-45CD-B13A-D829125FB9AF}" name="DAG" dataDxfId="1775">
      <calculatedColumnFormula>PROPER(TEXT(B9, "dddd"))</calculatedColumnFormula>
    </tableColumn>
    <tableColumn id="2" xr3:uid="{72E2EFE9-DFB7-4AC0-AD60-0D76145EFC23}" name="DATUM" dataDxfId="1773">
      <calculatedColumnFormula>Torsdag25</calculatedColumnFormula>
    </tableColumn>
    <tableColumn id="3" xr3:uid="{C1892457-9795-4566-AE4C-9B4938B9CD0B}" name="Tid1" dataDxfId="1774"/>
    <tableColumn id="4" xr3:uid="{64AFDFE6-8E40-4E1E-83ED-7C0AB10F3BC7}" name="TID" dataDxfId="3403"/>
    <tableColumn id="5" xr3:uid="{6C606F80-BD09-44F5-AB0A-9D6579B4C6A1}" name="ANTAL" dataDxfId="3402"/>
    <tableColumn id="6" xr3:uid="{918E27FB-A3CD-4991-B351-FA5B21B08147}" name="GRUPP/LAG/SKOLA/ETC." dataDxfId="3401"/>
  </tableColumns>
  <tableStyleInfo name="Hallbokningsschema 2" showFirstColumn="0" showLastColumn="0" showRowStripes="0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4" xr:uid="{93310727-AF4A-47C8-B737-95A331E95258}" name="Tabell538455259808794101108115122129143150157164171178185192199206213220227234241248255" displayName="Tabell538455259808794101108115122129143150157164171178185192199206213220227234241248255" ref="A10:F11" totalsRowShown="0" headerRowDxfId="3400" dataDxfId="3399">
  <autoFilter ref="A10:F1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7BFD6E1-6E7F-4718-9702-EFAD6CF969EA}" name="DAG" dataDxfId="1772">
      <calculatedColumnFormula>PROPER(TEXT(B11, "dddd"))</calculatedColumnFormula>
    </tableColumn>
    <tableColumn id="2" xr3:uid="{C8E5A5F3-8446-4089-B8AE-340555178709}" name="DATUM" dataDxfId="1770">
      <calculatedColumnFormula>Fredag25</calculatedColumnFormula>
    </tableColumn>
    <tableColumn id="3" xr3:uid="{1773E631-2F98-4011-845D-D1FB85AC38CD}" name="Tid1" dataDxfId="1771"/>
    <tableColumn id="4" xr3:uid="{709F6DA3-41F2-4A2B-925A-B628DA990A0F}" name="TID" dataDxfId="3398"/>
    <tableColumn id="5" xr3:uid="{1D1B9E45-B9F5-4715-B4EB-7D741A148014}" name="ANTAL" dataDxfId="3397"/>
    <tableColumn id="6" xr3:uid="{E4A60F45-7098-4FEB-8D64-AF9640297134}" name="GRUPP/LAG/SKOLA/ETC." dataDxfId="3396"/>
  </tableColumns>
  <tableStyleInfo name="Hallbokningsschema 2" showFirstColumn="0" showLastColumn="0" showRowStripes="0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5" xr:uid="{C0A2F16F-17DF-4006-8A00-3D9FE614D8CF}" name="Tabell639465360818895102109116123130144151158165172179186193200207214221228235242249256" displayName="Tabell639465360818895102109116123130144151158165172179186193200207214221228235242249256" ref="A12:F13" totalsRowShown="0" headerRowDxfId="3395" dataDxfId="3394">
  <autoFilter ref="A12:F1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F295408-8886-4B02-B288-E162FF862C19}" name="DAG" dataDxfId="1769">
      <calculatedColumnFormula>PROPER(TEXT(B13, "dddd"))</calculatedColumnFormula>
    </tableColumn>
    <tableColumn id="2" xr3:uid="{0A2A3DC3-C8F5-4ADB-988B-370C83EA04A4}" name="DATUM" dataDxfId="1767">
      <calculatedColumnFormula>Lördag25</calculatedColumnFormula>
    </tableColumn>
    <tableColumn id="3" xr3:uid="{B459AAEA-6936-4015-A01D-772B0E133C30}" name="Tid1" dataDxfId="1768"/>
    <tableColumn id="4" xr3:uid="{00B58382-12F3-46FF-A790-F5AFEF09ED85}" name="TID" dataDxfId="3393"/>
    <tableColumn id="5" xr3:uid="{1940C130-5F70-4E76-840C-59CBEE029EE6}" name="ANTAL" dataDxfId="3392"/>
    <tableColumn id="6" xr3:uid="{D0C1B3E6-1BFB-4A50-BD9C-3DC880F75366}" name="GRUPP/LAG/SKOLA/ETC." dataDxfId="3391"/>
  </tableColumns>
  <tableStyleInfo name="Hallbokningsschema 2" showFirstColumn="0" showLastColumn="0" showRowStripes="0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6" xr:uid="{D68DAE15-BDAE-4F03-A50E-8CDBD11254EB}" name="Tabell740475461828996103110117124131145152159166173180187194201208215222229236243250257" displayName="Tabell740475461828996103110117124131145152159166173180187194201208215222229236243250257" ref="A14:F15" totalsRowShown="0" headerRowDxfId="3390" dataDxfId="3389">
  <autoFilter ref="A14:F1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7278E5C-F966-4871-97A5-0A97EDFC9D17}" name="DAG" dataDxfId="1766">
      <calculatedColumnFormula>PROPER(TEXT(B15, "dddd"))</calculatedColumnFormula>
    </tableColumn>
    <tableColumn id="2" xr3:uid="{FC8ABB2C-83AC-4835-811A-D6D4EFEB1981}" name="DATUM" dataDxfId="1764">
      <calculatedColumnFormula>Söndag25</calculatedColumnFormula>
    </tableColumn>
    <tableColumn id="3" xr3:uid="{53BCE0B4-5ABF-4CA9-9048-45B7C55B09FD}" name="Tid1" dataDxfId="1765"/>
    <tableColumn id="4" xr3:uid="{8E9A331C-A598-4E34-ABDD-1F37D4CA39C5}" name="TID" dataDxfId="3388"/>
    <tableColumn id="5" xr3:uid="{5B63AD68-75BC-4951-B666-02B3F4C1F810}" name="ANTAL" dataDxfId="3387"/>
    <tableColumn id="6" xr3:uid="{39F12A56-FF44-45A0-9AA0-25CCA665DA65}" name="GRUPP/LAG/SKOLA/ETC." dataDxfId="3386"/>
  </tableColumns>
  <tableStyleInfo name="Hallbokningsschema 2" showFirstColumn="0" showLastColumn="0" showRowStripes="0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3" xr:uid="{C13BCEB5-42C7-4613-87B3-7917772B8443}" name="Tabell13441485576839097104111118125139146153160167174181188195202209216223230237244" displayName="Tabell13441485576839097104111118125139146153160167174181188195202209216223230237244" ref="A2:F3" totalsRowShown="0" headerRowDxfId="3385" dataDxfId="3384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90A4BD4-8191-4264-B6F7-7A655E3A8A8C}" name="DAG" dataDxfId="1763">
      <calculatedColumnFormula>PROPER(TEXT(B3, "dddd"))</calculatedColumnFormula>
    </tableColumn>
    <tableColumn id="2" xr3:uid="{4295A330-B535-49B8-91A0-28248CF79BBA}" name="DATUM" dataDxfId="1761">
      <calculatedColumnFormula>Måndag27</calculatedColumnFormula>
    </tableColumn>
    <tableColumn id="3" xr3:uid="{9639CF0E-0B86-4ED6-A4DE-CB6247EF0231}" name="Tid1" dataDxfId="1762"/>
    <tableColumn id="4" xr3:uid="{0422468C-D0AB-47E6-8B6B-0DB86E91AA17}" name="TID" dataDxfId="3383"/>
    <tableColumn id="5" xr3:uid="{81460E4D-F2C6-4EF7-AAD2-C0EF7A9E6614}" name="ANTAL" dataDxfId="3382"/>
    <tableColumn id="6" xr3:uid="{DC892010-5601-4AA4-8704-9027E1C938AF}" name="GRUPP/LAG/SKOLA/ETC." dataDxfId="3381"/>
  </tableColumns>
  <tableStyleInfo name="Hallbokningsschema 2" showFirstColumn="0" showLastColumn="0" showRowStripes="0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4" xr:uid="{B18DFA56-6BA7-44D0-9B42-D0DE5A390EC9}" name="Tabell23542495677849198105112119126140147154161168175182189196203210217224231238245" displayName="Tabell23542495677849198105112119126140147154161168175182189196203210217224231238245" ref="A4:F5" totalsRowShown="0" headerRowDxfId="3380" dataDxfId="3379">
  <autoFilter ref="A4:F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E4E3B08-3D71-4E53-A44E-5691DDB514C3}" name="DAG" dataDxfId="1760">
      <calculatedColumnFormula>PROPER(TEXT(B5, "dddd"))</calculatedColumnFormula>
    </tableColumn>
    <tableColumn id="2" xr3:uid="{12A586E2-ECFB-4689-AFE4-21F65B105D1F}" name="DATUM" dataDxfId="1758">
      <calculatedColumnFormula>Tisdag27</calculatedColumnFormula>
    </tableColumn>
    <tableColumn id="3" xr3:uid="{3CAF06A0-E2FD-488F-8FC7-37BE142866DD}" name="Tid1" dataDxfId="1759"/>
    <tableColumn id="4" xr3:uid="{1FF8BF1F-73BC-4D0F-9CB1-0D6BB8D86392}" name="TID" dataDxfId="3378"/>
    <tableColumn id="5" xr3:uid="{00752D8E-CE5F-44C9-845D-D805886286BF}" name="ANTAL" dataDxfId="3377"/>
    <tableColumn id="6" xr3:uid="{CC7F7906-6BD5-42CE-A847-7C4FC524C0FF}" name="GRUPP/LAG/SKOLA/ETC." dataDxfId="3376"/>
  </tableColumns>
  <tableStyleInfo name="Hallbokningsschema 2" showFirstColumn="0" showLastColumn="0" showRowStripes="0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5" xr:uid="{791B099C-2407-4463-AB70-D92266CE414F}" name="Tabell33643505778859299106113120127141148155162169176183190197204211218225232239246" displayName="Tabell33643505778859299106113120127141148155162169176183190197204211218225232239246" ref="A6:F7" totalsRowShown="0" headerRowDxfId="3375" dataDxfId="3374">
  <autoFilter ref="A6:F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7B90613-F0E6-43F9-B816-2A7EB95C601F}" name="DAG" dataDxfId="1757">
      <calculatedColumnFormula>PROPER(TEXT(B7, "dddd"))</calculatedColumnFormula>
    </tableColumn>
    <tableColumn id="2" xr3:uid="{97C3FC3E-46B6-4FA9-A2EC-053B9C10512F}" name="DATUM" dataDxfId="1755">
      <calculatedColumnFormula>Onsdag27</calculatedColumnFormula>
    </tableColumn>
    <tableColumn id="3" xr3:uid="{9D9608E3-85BB-4512-B1C7-9CAC394665AE}" name="Tid1" dataDxfId="1756"/>
    <tableColumn id="4" xr3:uid="{A4AEFD52-EC4D-4FD8-AE8F-12B6C67AFD43}" name="TID" dataDxfId="3373"/>
    <tableColumn id="5" xr3:uid="{1712472D-64B9-419C-8DD8-37732DAAB03E}" name="ANTAL" dataDxfId="3372"/>
    <tableColumn id="6" xr3:uid="{AE099C6B-28B0-45B3-AAA6-72282D9F79C3}" name="GRUPP/LAG/SKOLA/ETC." dataDxfId="3371"/>
  </tableColumns>
  <tableStyleInfo name="Hallbokningsschema 2" showFirstColumn="0" showLastColumn="0" showRowStripes="0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6" xr:uid="{7FBE05CA-55BF-468C-A224-A3AC8C6F8FE0}" name="Tabell437445158798693100107114121128142149156163170177184191198205212219226233240247" displayName="Tabell437445158798693100107114121128142149156163170177184191198205212219226233240247" ref="A8:F9" totalsRowShown="0" headerRowDxfId="3370" dataDxfId="3369">
  <autoFilter ref="A8:F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1DDC7E0-1ABA-4BEA-9090-01747B61A73D}" name="DAG" dataDxfId="1754">
      <calculatedColumnFormula>PROPER(TEXT(B9, "dddd"))</calculatedColumnFormula>
    </tableColumn>
    <tableColumn id="2" xr3:uid="{CF93991B-B06E-4BCC-BE45-125B72436C68}" name="DATUM" dataDxfId="1752">
      <calculatedColumnFormula>Torsdag27</calculatedColumnFormula>
    </tableColumn>
    <tableColumn id="3" xr3:uid="{EA099414-C904-4BF8-A164-A7B20A182BAC}" name="Tid1" dataDxfId="1753"/>
    <tableColumn id="4" xr3:uid="{07AC11D9-1C84-4FFD-BEC3-1E688DBDFEF9}" name="TID" dataDxfId="3368"/>
    <tableColumn id="5" xr3:uid="{D915ED36-24CA-4828-B387-1A2515EABC02}" name="ANTAL" dataDxfId="3367"/>
    <tableColumn id="6" xr3:uid="{F63940FC-B129-4FAF-910A-84AB238A7F6C}" name="GRUPP/LAG/SKOLA/ETC." dataDxfId="3366"/>
  </tableColumns>
  <tableStyleInfo name="Hallbokningsschema 2" showFirstColumn="0" showLastColumn="0" showRowStripes="0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7" xr:uid="{D9C06F74-BB67-485A-85DB-AD28AFB359FE}" name="Tabell538455259808794101108115122129143150157164171178185192199206213220227234241248" displayName="Tabell538455259808794101108115122129143150157164171178185192199206213220227234241248" ref="A10:F11" totalsRowShown="0" headerRowDxfId="3365" dataDxfId="3364">
  <autoFilter ref="A10:F1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C58666B-379B-4082-BDC0-5A5DBE64464C}" name="DAG" dataDxfId="1751">
      <calculatedColumnFormula>PROPER(TEXT(B11, "dddd"))</calculatedColumnFormula>
    </tableColumn>
    <tableColumn id="2" xr3:uid="{5E0EAD2A-48DE-4CA8-B169-581EC2A1CA43}" name="DATUM" dataDxfId="1749">
      <calculatedColumnFormula>Fredag27</calculatedColumnFormula>
    </tableColumn>
    <tableColumn id="3" xr3:uid="{4ECB02DB-573E-4388-B7BB-57879C6FBBB5}" name="Tid1" dataDxfId="1750"/>
    <tableColumn id="4" xr3:uid="{C6F6B0F8-4093-4B54-B6C2-821AFDBB0B91}" name="TID" dataDxfId="3363"/>
    <tableColumn id="5" xr3:uid="{5AE35075-8043-4108-861A-7A2EC4BDB7E5}" name="ANTAL" dataDxfId="3362"/>
    <tableColumn id="6" xr3:uid="{8A7D4C6C-A8AC-4F56-8D69-A10DFB224D1C}" name="GRUPP/LAG/SKOLA/ETC." dataDxfId="3361"/>
  </tableColumns>
  <tableStyleInfo name="Hallbokningsschema 2" showFirstColumn="0" showLastColumn="0" showRowStripes="0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8" xr:uid="{EBEC4B0F-AADC-412D-BA07-6B5AD217BFAB}" name="Tabell639465360818895102109116123130144151158165172179186193200207214221228235242249" displayName="Tabell639465360818895102109116123130144151158165172179186193200207214221228235242249" ref="A12:F13" totalsRowShown="0" headerRowDxfId="3360" dataDxfId="3359">
  <autoFilter ref="A12:F1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C918AFF-A176-4A28-A8F3-BEB57E8EF6D8}" name="DAG" dataDxfId="1748">
      <calculatedColumnFormula>PROPER(TEXT(B13, "dddd"))</calculatedColumnFormula>
    </tableColumn>
    <tableColumn id="2" xr3:uid="{105BF5DA-8EAD-4223-8F59-CF2A9E918B17}" name="DATUM" dataDxfId="1746">
      <calculatedColumnFormula>Lördag27</calculatedColumnFormula>
    </tableColumn>
    <tableColumn id="3" xr3:uid="{FB9E0D02-27DD-482C-950D-09A0C93A3A7F}" name="Tid1" dataDxfId="1747"/>
    <tableColumn id="4" xr3:uid="{4FA7E9A2-561E-4037-8463-16292B347ACD}" name="TID" dataDxfId="3358"/>
    <tableColumn id="5" xr3:uid="{902996AD-31B3-4D67-863A-FFE4DE6848B4}" name="ANTAL" dataDxfId="3357"/>
    <tableColumn id="6" xr3:uid="{D001A653-BFCB-466B-9285-D2FE162231BC}" name="GRUPP/LAG/SKOLA/ETC." dataDxfId="3356"/>
  </tableColumns>
  <tableStyleInfo name="Hallbokningsschema 2" showFirstColumn="0" showLastColumn="0" showRowStripes="0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9" xr:uid="{712558CB-DEBD-4615-960B-1551E34CEEFF}" name="Tabell740475461828996103110117124131145152159166173180187194201208215222229236243250" displayName="Tabell740475461828996103110117124131145152159166173180187194201208215222229236243250" ref="A14:F15" totalsRowShown="0" headerRowDxfId="3355" dataDxfId="3354">
  <autoFilter ref="A14:F1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05D4467-DC9C-4960-AF0A-4F4B3979BF4F}" name="DAG" dataDxfId="1745">
      <calculatedColumnFormula>PROPER(TEXT(B15, "dddd"))</calculatedColumnFormula>
    </tableColumn>
    <tableColumn id="2" xr3:uid="{E5F64DD2-32A6-47AE-9613-5F0F7497A431}" name="DATUM" dataDxfId="1743">
      <calculatedColumnFormula>Söndag27</calculatedColumnFormula>
    </tableColumn>
    <tableColumn id="3" xr3:uid="{A029A604-F1E6-4BEF-92BD-7CDCD23A46C1}" name="Tid1" dataDxfId="1744"/>
    <tableColumn id="4" xr3:uid="{5D79AFDF-EB35-4B8B-BD78-B3EDBC662F92}" name="TID" dataDxfId="3353"/>
    <tableColumn id="5" xr3:uid="{9B56A9AD-4EBE-440B-82D7-138DA40C14D3}" name="ANTAL" dataDxfId="3352"/>
    <tableColumn id="6" xr3:uid="{98169890-A818-4F5A-802A-C6A559CEC8CD}" name="GRUPP/LAG/SKOLA/ETC." dataDxfId="3351"/>
  </tableColumns>
  <tableStyleInfo name="Hallbokningsschema 2" showFirstColumn="0" showLastColumn="0" showRowStripes="0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6" xr:uid="{282A260E-6477-40C7-80AD-913E9CCCE737}" name="Tabell13441485576839097104111118125139146153160167174181188195202209216223230237" displayName="Tabell13441485576839097104111118125139146153160167174181188195202209216223230237" ref="A2:F3" totalsRowShown="0" headerRowDxfId="3350" dataDxfId="3349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CF7B068-BD9D-456D-A89D-0A39B294C5A4}" name="DAG" dataDxfId="1742">
      <calculatedColumnFormula>PROPER(TEXT(B3, "dddd"))</calculatedColumnFormula>
    </tableColumn>
    <tableColumn id="2" xr3:uid="{51EA5EFD-FA47-42B7-9C7D-55CEDB85BFF7}" name="DATUM" dataDxfId="1740">
      <calculatedColumnFormula>Måndag27</calculatedColumnFormula>
    </tableColumn>
    <tableColumn id="3" xr3:uid="{3D562950-BD98-4134-B10A-B1F5F54DE96C}" name="Tid1" dataDxfId="1741"/>
    <tableColumn id="4" xr3:uid="{C3DC9D9A-81DE-4C07-BD90-921059AF9DCC}" name="TID" dataDxfId="3348"/>
    <tableColumn id="5" xr3:uid="{B633C70D-3B38-4439-B679-63779ED91283}" name="ANTAL" dataDxfId="3347"/>
    <tableColumn id="6" xr3:uid="{BFB32FA2-6510-4C1F-AC11-452B22F7368F}" name="GRUPP/LAG/SKOLA/ETC." dataDxfId="3346"/>
  </tableColumns>
  <tableStyleInfo name="Hallbokningsschema 2" showFirstColumn="0" showLastColumn="0" showRowStripes="0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7" xr:uid="{9648932A-1A94-4659-AB29-45DCFF33C5C1}" name="Tabell23542495677849198105112119126140147154161168175182189196203210217224231238" displayName="Tabell23542495677849198105112119126140147154161168175182189196203210217224231238" ref="A4:F5" totalsRowShown="0" headerRowDxfId="3345" dataDxfId="3344">
  <autoFilter ref="A4:F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BD9316B-6E1A-4888-AB04-974225E1FF47}" name="DAG" dataDxfId="1739">
      <calculatedColumnFormula>PROPER(TEXT(B5, "dddd"))</calculatedColumnFormula>
    </tableColumn>
    <tableColumn id="2" xr3:uid="{16C72D72-1FDA-4B0F-BAA6-6A32611F12F0}" name="DATUM" dataDxfId="1737">
      <calculatedColumnFormula>Tisdag27</calculatedColumnFormula>
    </tableColumn>
    <tableColumn id="3" xr3:uid="{730B8E96-40CF-4F89-A225-4BEDFF7A8A0A}" name="Tid1" dataDxfId="1738"/>
    <tableColumn id="4" xr3:uid="{1A62B9C5-AA04-469B-B775-97A1777618A3}" name="TID" dataDxfId="3343"/>
    <tableColumn id="5" xr3:uid="{6A3BA62D-C6BF-49DA-AA27-D322B68356F7}" name="ANTAL" dataDxfId="3342"/>
    <tableColumn id="6" xr3:uid="{6FF4B624-D6EB-444C-A8C9-835356864065}" name="GRUPP/LAG/SKOLA/ETC." dataDxfId="3341"/>
  </tableColumns>
  <tableStyleInfo name="Hallbokningsschema 2" showFirstColumn="0" showLastColumn="0" showRowStripes="0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8" xr:uid="{8FC1785B-C5F3-4783-B771-C2B1FFCA433E}" name="Tabell33643505778859299106113120127141148155162169176183190197204211218225232239" displayName="Tabell33643505778859299106113120127141148155162169176183190197204211218225232239" ref="A6:F7" totalsRowShown="0" headerRowDxfId="3340" dataDxfId="3339">
  <autoFilter ref="A6:F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B3E73F8-9928-42E3-80DF-B703D62C7561}" name="DAG" dataDxfId="1736">
      <calculatedColumnFormula>PROPER(TEXT(B7, "dddd"))</calculatedColumnFormula>
    </tableColumn>
    <tableColumn id="2" xr3:uid="{E68A78F3-C766-428B-8A15-F85B024B5E6C}" name="DATUM" dataDxfId="1734">
      <calculatedColumnFormula>Onsdag27</calculatedColumnFormula>
    </tableColumn>
    <tableColumn id="3" xr3:uid="{1C1A0DA5-F146-4C7F-ACC4-091CD09D6148}" name="Tid1" dataDxfId="1735"/>
    <tableColumn id="4" xr3:uid="{0D8A7197-3F28-4712-AE76-DA400CFF6751}" name="TID" dataDxfId="3338"/>
    <tableColumn id="5" xr3:uid="{DFE5F375-DE20-43F0-92BC-AA367ED813EB}" name="ANTAL" dataDxfId="3337"/>
    <tableColumn id="6" xr3:uid="{BE066C88-DE63-44E6-BA29-77226CD8CA53}" name="GRUPP/LAG/SKOLA/ETC." dataDxfId="3336"/>
  </tableColumns>
  <tableStyleInfo name="Hallbokningsschema 2" showFirstColumn="0" showLastColumn="0" showRowStripes="0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9" xr:uid="{729873B4-FF16-41FA-8618-ABC1986C2DB9}" name="Tabell437445158798693100107114121128142149156163170177184191198205212219226233240" displayName="Tabell437445158798693100107114121128142149156163170177184191198205212219226233240" ref="A8:F9" totalsRowShown="0" headerRowDxfId="3335" dataDxfId="3334">
  <autoFilter ref="A8:F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9D32464-BDED-4167-AB02-F2B6046CAF89}" name="DAG" dataDxfId="1733">
      <calculatedColumnFormula>PROPER(TEXT(B9, "dddd"))</calculatedColumnFormula>
    </tableColumn>
    <tableColumn id="2" xr3:uid="{98B208AF-06E4-4359-AC97-A1D6ADF9D6BB}" name="DATUM" dataDxfId="1731">
      <calculatedColumnFormula>Torsdag27</calculatedColumnFormula>
    </tableColumn>
    <tableColumn id="3" xr3:uid="{02F15E74-D66A-4F6C-9CAE-28F9A8E6E2FC}" name="Tid1" dataDxfId="1732"/>
    <tableColumn id="4" xr3:uid="{5B7AD1F8-F1D9-4644-8120-7873C6B3762F}" name="TID" dataDxfId="3333"/>
    <tableColumn id="5" xr3:uid="{452BFC1F-4934-4752-8F63-0CBAA5A46A4B}" name="ANTAL" dataDxfId="3332"/>
    <tableColumn id="6" xr3:uid="{D34D6148-147B-4A60-9C79-139C836DD75D}" name="GRUPP/LAG/SKOLA/ETC." dataDxfId="3331"/>
  </tableColumns>
  <tableStyleInfo name="Hallbokningsschema 2" showFirstColumn="0" showLastColumn="0" showRowStripes="0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0" xr:uid="{2835CA05-2062-4367-980C-A3FD7ED1D2AC}" name="Tabell538455259808794101108115122129143150157164171178185192199206213220227234241" displayName="Tabell538455259808794101108115122129143150157164171178185192199206213220227234241" ref="A10:F11" totalsRowShown="0" headerRowDxfId="3330" dataDxfId="3329">
  <autoFilter ref="A10:F1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31313E2-F417-4C55-AA16-50DFFFF18494}" name="DAG" dataDxfId="1730">
      <calculatedColumnFormula>PROPER(TEXT(B11, "dddd"))</calculatedColumnFormula>
    </tableColumn>
    <tableColumn id="2" xr3:uid="{FE4C9A02-C548-440E-BAE7-C763C3B7D3CD}" name="DATUM" dataDxfId="1728">
      <calculatedColumnFormula>Fredag27</calculatedColumnFormula>
    </tableColumn>
    <tableColumn id="3" xr3:uid="{A768D505-3586-48EB-9AC6-86A0A8D02FD5}" name="Tid1" dataDxfId="1729"/>
    <tableColumn id="4" xr3:uid="{F965008C-237F-4566-B3E8-CFF57A38E54D}" name="TID" dataDxfId="3328"/>
    <tableColumn id="5" xr3:uid="{37A36852-D3F5-4B06-90C4-923B37E9A285}" name="ANTAL" dataDxfId="3327"/>
    <tableColumn id="6" xr3:uid="{BFBD3421-3C83-4ACC-981F-52BA9A1D59C5}" name="GRUPP/LAG/SKOLA/ETC." dataDxfId="3326"/>
  </tableColumns>
  <tableStyleInfo name="Hallbokningsschema 2" showFirstColumn="0" showLastColumn="0" showRowStripes="0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1" xr:uid="{E2D7F4D7-326F-48EC-944A-70A49E33A4FD}" name="Tabell639465360818895102109116123130144151158165172179186193200207214221228235242" displayName="Tabell639465360818895102109116123130144151158165172179186193200207214221228235242" ref="A12:F13" totalsRowShown="0" headerRowDxfId="3325" dataDxfId="3324">
  <autoFilter ref="A12:F1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01491B0-25D7-4E7F-8AB6-936F21B50480}" name="DAG" dataDxfId="1727">
      <calculatedColumnFormula>PROPER(TEXT(B13, "dddd"))</calculatedColumnFormula>
    </tableColumn>
    <tableColumn id="2" xr3:uid="{D351DC35-0139-4AD9-9492-622B04AC925F}" name="DATUM" dataDxfId="1725">
      <calculatedColumnFormula>Lördag27</calculatedColumnFormula>
    </tableColumn>
    <tableColumn id="3" xr3:uid="{EF593227-4F58-49E3-9572-62B4C2287CE4}" name="Tid1" dataDxfId="1726"/>
    <tableColumn id="4" xr3:uid="{4EE66084-D2F7-4961-A17C-0FE27FF898F7}" name="TID" dataDxfId="3323"/>
    <tableColumn id="5" xr3:uid="{D81C7A2B-ECD4-4ED8-9E2C-879BA1F69D01}" name="ANTAL" dataDxfId="3322"/>
    <tableColumn id="6" xr3:uid="{400447C7-46B2-435C-A134-BDDF0B4A439F}" name="GRUPP/LAG/SKOLA/ETC." dataDxfId="3321"/>
  </tableColumns>
  <tableStyleInfo name="Hallbokningsschema 2" showFirstColumn="0" showLastColumn="0" showRowStripes="0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2" xr:uid="{0939CD4F-50EB-40DB-8275-2EF4A91762F3}" name="Tabell740475461828996103110117124131145152159166173180187194201208215222229236243" displayName="Tabell740475461828996103110117124131145152159166173180187194201208215222229236243" ref="A14:F15" totalsRowShown="0" headerRowDxfId="3320" dataDxfId="3319">
  <autoFilter ref="A14:F1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A764E37-C067-4A16-B918-8CF3F0347C2D}" name="DAG" dataDxfId="1724">
      <calculatedColumnFormula>PROPER(TEXT(B15, "dddd"))</calculatedColumnFormula>
    </tableColumn>
    <tableColumn id="2" xr3:uid="{6ABC2EA1-D1EE-444A-AEA7-91BD074B4C28}" name="DATUM" dataDxfId="1722">
      <calculatedColumnFormula>Söndag27</calculatedColumnFormula>
    </tableColumn>
    <tableColumn id="3" xr3:uid="{BE6D95A8-6B9C-44FB-81AF-05F335DCB275}" name="Tid1" dataDxfId="1723"/>
    <tableColumn id="4" xr3:uid="{2CD08C5F-DDDC-4128-8529-EAFE8D6B6D79}" name="TID" dataDxfId="3318"/>
    <tableColumn id="5" xr3:uid="{0A8E02BF-E81E-4408-8AC6-DFAE4E4C6317}" name="ANTAL" dataDxfId="3317"/>
    <tableColumn id="6" xr3:uid="{B3162F27-246A-4B5C-A835-7C772E9566E7}" name="GRUPP/LAG/SKOLA/ETC." dataDxfId="3316"/>
  </tableColumns>
  <tableStyleInfo name="Hallbokningsschema 2" showFirstColumn="0" showLastColumn="0" showRowStripes="0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9" xr:uid="{75756916-409A-492B-B22E-3244026E9DA3}" name="Tabell13441485576839097104111118125139146153160167174181188195202209216223230" displayName="Tabell13441485576839097104111118125139146153160167174181188195202209216223230" ref="A2:F3" totalsRowShown="0" headerRowDxfId="3315" dataDxfId="3314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B6FB6D0-E6C8-4540-8945-E4B0675D4BB4}" name="DAG" dataDxfId="1721">
      <calculatedColumnFormula>PROPER(TEXT(B3, "dddd"))</calculatedColumnFormula>
    </tableColumn>
    <tableColumn id="2" xr3:uid="{B31526BF-49B0-4879-8602-04377CA852F9}" name="DATUM" dataDxfId="1719">
      <calculatedColumnFormula>Måndag28</calculatedColumnFormula>
    </tableColumn>
    <tableColumn id="3" xr3:uid="{C03D93FE-2E44-4805-A0A1-FC76AF0F102C}" name="Tid1" dataDxfId="1720"/>
    <tableColumn id="4" xr3:uid="{0A1B13CC-3DAB-4969-8916-4BB9BD2077E5}" name="TID" dataDxfId="3313"/>
    <tableColumn id="5" xr3:uid="{DB2E4066-B8F3-4262-B71F-E4784A83435E}" name="ANTAL" dataDxfId="3312"/>
    <tableColumn id="6" xr3:uid="{9060E599-C469-427A-B99E-85597F734B83}" name="GRUPP/LAG/SKOLA/ETC." dataDxfId="3311"/>
  </tableColumns>
  <tableStyleInfo name="Hallbokningsschema 2" showFirstColumn="0" showLastColumn="0" showRowStripes="0" showColumnStripes="0"/>
</table>
</file>

<file path=xl/tables/table1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0" xr:uid="{971B66A1-90E2-4834-8259-D15FC364E82B}" name="Tabell23542495677849198105112119126140147154161168175182189196203210217224231" displayName="Tabell23542495677849198105112119126140147154161168175182189196203210217224231" ref="A4:F5" totalsRowShown="0" headerRowDxfId="3310" dataDxfId="3309">
  <autoFilter ref="A4:F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8618015-BAE8-447F-B0E4-7760B332FA0D}" name="DAG" dataDxfId="1718">
      <calculatedColumnFormula>PROPER(TEXT(B5, "dddd"))</calculatedColumnFormula>
    </tableColumn>
    <tableColumn id="2" xr3:uid="{A2C50AD0-CC86-474C-A6BD-E27DA4ED0854}" name="DATUM" dataDxfId="1716">
      <calculatedColumnFormula>Tisdag28</calculatedColumnFormula>
    </tableColumn>
    <tableColumn id="3" xr3:uid="{F409AD8B-AFDD-4B69-BCDA-F08CDBD08124}" name="Tid1" dataDxfId="1717"/>
    <tableColumn id="4" xr3:uid="{08E0CBFF-F946-44F7-AB78-39C35B6E43B7}" name="TID" dataDxfId="3308"/>
    <tableColumn id="5" xr3:uid="{15CFC20B-66DF-4AD5-B876-612E661465C4}" name="ANTAL" dataDxfId="3307"/>
    <tableColumn id="6" xr3:uid="{B54D1552-5021-4FD3-8F3C-E02B5968EFA2}" name="GRUPP/LAG/SKOLA/ETC." dataDxfId="3306"/>
  </tableColumns>
  <tableStyleInfo name="Hallbokningsschema 2" showFirstColumn="0" showLastColumn="0" showRowStripes="0" showColumnStripes="0"/>
</table>
</file>

<file path=xl/tables/table1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1" xr:uid="{70495640-C0A9-4637-969D-668BAC34DEF2}" name="Tabell33643505778859299106113120127141148155162169176183190197204211218225232" displayName="Tabell33643505778859299106113120127141148155162169176183190197204211218225232" ref="A6:F7" totalsRowShown="0" headerRowDxfId="3305" dataDxfId="3304">
  <autoFilter ref="A6:F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8CB3217-C51A-45D5-A2DA-6543EFF761DF}" name="DAG" dataDxfId="1715">
      <calculatedColumnFormula>PROPER(TEXT(B7, "dddd"))</calculatedColumnFormula>
    </tableColumn>
    <tableColumn id="2" xr3:uid="{DBA20B5A-A45A-44CA-9700-CCA9EA683DF0}" name="DATUM" dataDxfId="1713">
      <calculatedColumnFormula>Onsdag28</calculatedColumnFormula>
    </tableColumn>
    <tableColumn id="3" xr3:uid="{FE06BED7-3F7E-4DAA-9571-D5C00DA43325}" name="Tid1" dataDxfId="1714"/>
    <tableColumn id="4" xr3:uid="{E470A18F-CEF0-4A15-BA03-F9D3298A6E08}" name="TID" dataDxfId="3303"/>
    <tableColumn id="5" xr3:uid="{1A200334-4CC9-4A78-94FB-B86DBFBFADE3}" name="ANTAL" dataDxfId="3302"/>
    <tableColumn id="6" xr3:uid="{163BB741-AD42-482C-95DE-E39F37980FEC}" name="GRUPP/LAG/SKOLA/ETC." dataDxfId="3301"/>
  </tableColumns>
  <tableStyleInfo name="Hallbokningsschema 2" showFirstColumn="0" showLastColumn="0" showRowStripes="0" showColumnStripes="0"/>
</table>
</file>

<file path=xl/tables/table1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2" xr:uid="{66997F0D-4E09-40D4-B5D9-BE7F635FA83C}" name="Tabell437445158798693100107114121128142149156163170177184191198205212219226233" displayName="Tabell437445158798693100107114121128142149156163170177184191198205212219226233" ref="A8:F9" totalsRowShown="0" headerRowDxfId="3300" dataDxfId="3299">
  <autoFilter ref="A8:F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1DC40BA-1AED-4D49-9152-0177DB5B425C}" name="DAG" dataDxfId="1712">
      <calculatedColumnFormula>PROPER(TEXT(B9, "dddd"))</calculatedColumnFormula>
    </tableColumn>
    <tableColumn id="2" xr3:uid="{3E03D930-ADF1-467A-B681-A0537595EEDE}" name="DATUM" dataDxfId="1710">
      <calculatedColumnFormula>Torsdag28</calculatedColumnFormula>
    </tableColumn>
    <tableColumn id="3" xr3:uid="{76695C12-7AED-489B-9E92-5F841768D49F}" name="Tid1" dataDxfId="1711"/>
    <tableColumn id="4" xr3:uid="{8EB44CF8-768C-4053-A993-58EF6468C690}" name="TID" dataDxfId="3298"/>
    <tableColumn id="5" xr3:uid="{F4A57A07-9273-40C4-9C4F-C76AA250E4ED}" name="ANTAL" dataDxfId="3297"/>
    <tableColumn id="6" xr3:uid="{3777A409-D209-43D7-8608-6DF6A92B83B7}" name="GRUPP/LAG/SKOLA/ETC." dataDxfId="3296"/>
  </tableColumns>
  <tableStyleInfo name="Hallbokningsschema 2" showFirstColumn="0" showLastColumn="0" showRowStripes="0" showColumnStripes="0"/>
</table>
</file>

<file path=xl/tables/table1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3" xr:uid="{BB7133D2-7E29-4F6E-B4F8-B191D48F3B6B}" name="Tabell538455259808794101108115122129143150157164171178185192199206213220227234" displayName="Tabell538455259808794101108115122129143150157164171178185192199206213220227234" ref="A10:F11" totalsRowShown="0" headerRowDxfId="3295" dataDxfId="3294">
  <autoFilter ref="A10:F1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7F4B132-F447-4C3A-A3E3-4B9735F12953}" name="DAG" dataDxfId="1709">
      <calculatedColumnFormula>PROPER(TEXT(B11, "dddd"))</calculatedColumnFormula>
    </tableColumn>
    <tableColumn id="2" xr3:uid="{FFDD47F1-94D8-495A-84AD-7DDE170AECB0}" name="DATUM" dataDxfId="1707">
      <calculatedColumnFormula>Fredag28</calculatedColumnFormula>
    </tableColumn>
    <tableColumn id="3" xr3:uid="{190528B6-D2F0-4979-899D-AFF2574E273E}" name="Tid1" dataDxfId="1708"/>
    <tableColumn id="4" xr3:uid="{6D83D301-C2A0-4542-824C-D7A0D8056F82}" name="TID" dataDxfId="3293"/>
    <tableColumn id="5" xr3:uid="{4395B577-BACB-4F3F-B21E-6AC58641677E}" name="ANTAL" dataDxfId="3292"/>
    <tableColumn id="6" xr3:uid="{4CEFAD32-584A-45F5-8C4C-5683BD9CE1DC}" name="GRUPP/LAG/SKOLA/ETC." dataDxfId="3291"/>
  </tableColumns>
  <tableStyleInfo name="Hallbokningsschema 2" showFirstColumn="0" showLastColumn="0" showRowStripes="0" showColumnStripes="0"/>
</table>
</file>

<file path=xl/tables/table1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4" xr:uid="{39AFBED0-A9C7-4B14-8127-C472629F436A}" name="Tabell639465360818895102109116123130144151158165172179186193200207214221228235" displayName="Tabell639465360818895102109116123130144151158165172179186193200207214221228235" ref="A12:F13" totalsRowShown="0" headerRowDxfId="3290" dataDxfId="3289">
  <autoFilter ref="A12:F1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3BB13A0-E664-4939-90D4-9DDDFBD49E72}" name="DAG" dataDxfId="1706">
      <calculatedColumnFormula>PROPER(TEXT(B13, "dddd"))</calculatedColumnFormula>
    </tableColumn>
    <tableColumn id="2" xr3:uid="{1B56A02C-784D-4CD6-94E8-83B2615B6179}" name="DATUM" dataDxfId="1704">
      <calculatedColumnFormula>Lördag28</calculatedColumnFormula>
    </tableColumn>
    <tableColumn id="3" xr3:uid="{C267E809-2230-4511-A540-459E95D76A21}" name="Tid1" dataDxfId="1705"/>
    <tableColumn id="4" xr3:uid="{25347863-7B9C-4BF1-BE93-0091567A1075}" name="TID" dataDxfId="3288"/>
    <tableColumn id="5" xr3:uid="{3D720284-CE1F-4DB0-AB52-C9D2464E08A4}" name="ANTAL" dataDxfId="3287"/>
    <tableColumn id="6" xr3:uid="{97AB9B66-9233-464E-95C9-EB9C9070C451}" name="GRUPP/LAG/SKOLA/ETC." dataDxfId="3286"/>
  </tableColumns>
  <tableStyleInfo name="Hallbokningsschema 2" showFirstColumn="0" showLastColumn="0" showRowStripes="0" showColumnStripes="0"/>
</table>
</file>

<file path=xl/tables/table1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5" xr:uid="{1CA2D4DF-15F7-4D39-83DC-C23BE0CCC333}" name="Tabell740475461828996103110117124131145152159166173180187194201208215222229236" displayName="Tabell740475461828996103110117124131145152159166173180187194201208215222229236" ref="A14:F15" totalsRowShown="0" headerRowDxfId="3285" dataDxfId="3284">
  <autoFilter ref="A14:F1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13A5305-3C80-4AED-A05D-437E4163B2D7}" name="DAG" dataDxfId="1703">
      <calculatedColumnFormula>PROPER(TEXT(B15, "dddd"))</calculatedColumnFormula>
    </tableColumn>
    <tableColumn id="2" xr3:uid="{502823FA-F432-4FE4-BA6C-D1B6FB9DE753}" name="DATUM" dataDxfId="1701">
      <calculatedColumnFormula>Söndag28</calculatedColumnFormula>
    </tableColumn>
    <tableColumn id="3" xr3:uid="{A99362F7-7ABD-4BF7-A6E3-2C814B8625D4}" name="Tid1" dataDxfId="1702"/>
    <tableColumn id="4" xr3:uid="{321554B1-8104-4371-A715-DFD5EAB0E3D0}" name="TID" dataDxfId="3283"/>
    <tableColumn id="5" xr3:uid="{2B460C0B-A814-4AB6-BCD7-FC9B0A48F0FE}" name="ANTAL" dataDxfId="3282"/>
    <tableColumn id="6" xr3:uid="{AC9084AD-8E2D-46E8-8858-3676F59814E0}" name="GRUPP/LAG/SKOLA/ETC." dataDxfId="3281"/>
  </tableColumns>
  <tableStyleInfo name="Hallbokningsschema 2" showFirstColumn="0" showLastColumn="0" showRowStripes="0" showColumnStripes="0"/>
</table>
</file>

<file path=xl/tables/table1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2" xr:uid="{9B17BA33-019A-4205-ACFF-E0EB9CEAA1AB}" name="Tabell13441485576839097104111118125139146153160167174181188195202209216223" displayName="Tabell13441485576839097104111118125139146153160167174181188195202209216223" ref="A2:F3" totalsRowShown="0" headerRowDxfId="3280" dataDxfId="3279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94EC421-AC49-4543-9070-22470D6A1E66}" name="DAG" dataDxfId="1700">
      <calculatedColumnFormula>PROPER(TEXT(B3, "dddd"))</calculatedColumnFormula>
    </tableColumn>
    <tableColumn id="2" xr3:uid="{A989A1A8-D5C9-48EE-9DA5-6CB0BDCD059F}" name="DATUM" dataDxfId="1698">
      <calculatedColumnFormula>Måndag29</calculatedColumnFormula>
    </tableColumn>
    <tableColumn id="3" xr3:uid="{861D1B6F-728B-42B7-8659-CC5A1A8D9C96}" name="Tid1" dataDxfId="1699"/>
    <tableColumn id="4" xr3:uid="{CCCA56AA-1E86-4922-B0D8-9496104D78DB}" name="TID" dataDxfId="3278"/>
    <tableColumn id="5" xr3:uid="{305AD0AA-5C38-4EA1-92EF-66159E02F058}" name="ANTAL" dataDxfId="3277"/>
    <tableColumn id="6" xr3:uid="{0BD3E0B0-4EAA-4F1B-9D5B-9C92EC1C7DC0}" name="GRUPP/LAG/SKOLA/ETC." dataDxfId="3276"/>
  </tableColumns>
  <tableStyleInfo name="Hallbokningsschema 2" showFirstColumn="0" showLastColumn="0" showRowStripes="0" showColumnStripes="0"/>
</table>
</file>

<file path=xl/tables/table1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3" xr:uid="{A98FDE7D-46B8-4FBB-8FF7-2BD01E57416E}" name="Tabell23542495677849198105112119126140147154161168175182189196203210217224" displayName="Tabell23542495677849198105112119126140147154161168175182189196203210217224" ref="A4:F5" totalsRowShown="0" headerRowDxfId="3275" dataDxfId="3274">
  <autoFilter ref="A4:F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8D00027-37BF-4CD6-B244-3AA858F410B9}" name="DAG" dataDxfId="1697">
      <calculatedColumnFormula>PROPER(TEXT(B5, "dddd"))</calculatedColumnFormula>
    </tableColumn>
    <tableColumn id="2" xr3:uid="{A1159518-3994-4C0B-86A3-5CF94A865E7D}" name="DATUM" dataDxfId="1695">
      <calculatedColumnFormula>Tisdag29</calculatedColumnFormula>
    </tableColumn>
    <tableColumn id="3" xr3:uid="{5445CB16-2087-437E-9FDE-5AF265255C6E}" name="Tid1" dataDxfId="1696"/>
    <tableColumn id="4" xr3:uid="{D5A323C0-E4F2-4555-90F8-7D3EEA84F5A2}" name="TID" dataDxfId="3273"/>
    <tableColumn id="5" xr3:uid="{76B4CA4E-BD83-4914-BE95-0D9FF7228874}" name="ANTAL" dataDxfId="3272"/>
    <tableColumn id="6" xr3:uid="{94AEFE00-F9B7-408A-A665-EA4F1644592D}" name="GRUPP/LAG/SKOLA/ETC." dataDxfId="3271"/>
  </tableColumns>
  <tableStyleInfo name="Hallbokningsschema 2" showFirstColumn="0" showLastColumn="0" showRowStripes="0" showColumnStripes="0"/>
</table>
</file>

<file path=xl/tables/table1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4" xr:uid="{49689D9C-5003-4A7A-8DD7-17D3D4D3C74D}" name="Tabell33643505778859299106113120127141148155162169176183190197204211218225" displayName="Tabell33643505778859299106113120127141148155162169176183190197204211218225" ref="A6:F7" totalsRowShown="0" headerRowDxfId="3270" dataDxfId="3269">
  <autoFilter ref="A6:F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72138A4-4C01-4441-BB26-4ED5AFB9F3B0}" name="DAG" dataDxfId="1694">
      <calculatedColumnFormula>PROPER(TEXT(B7, "dddd"))</calculatedColumnFormula>
    </tableColumn>
    <tableColumn id="2" xr3:uid="{CD5C2CC6-B70F-4740-81BC-6B677B4D037E}" name="DATUM" dataDxfId="1692">
      <calculatedColumnFormula>Onsdag29</calculatedColumnFormula>
    </tableColumn>
    <tableColumn id="3" xr3:uid="{6ACE2518-11EC-4BC2-AA3A-A98883E544C2}" name="Tid1" dataDxfId="1693"/>
    <tableColumn id="4" xr3:uid="{0E860045-AF87-49E8-9878-B69F091F1AB9}" name="TID" dataDxfId="3268"/>
    <tableColumn id="5" xr3:uid="{D86D40C7-B9BC-4032-AF6F-73A92E8D0952}" name="ANTAL" dataDxfId="3267"/>
    <tableColumn id="6" xr3:uid="{23EA3B51-9B3B-4207-BB51-C2E029BE723F}" name="GRUPP/LAG/SKOLA/ETC." dataDxfId="3266"/>
  </tableColumns>
  <tableStyleInfo name="Hallbokningsschema 2" showFirstColumn="0" showLastColumn="0" showRowStripes="0" showColumnStripes="0"/>
</table>
</file>

<file path=xl/tables/table2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5" xr:uid="{8306DC37-E2B2-4E1E-97CC-785D1EE9B7C1}" name="Tabell437445158798693100107114121128142149156163170177184191198205212219226" displayName="Tabell437445158798693100107114121128142149156163170177184191198205212219226" ref="A8:F9" totalsRowShown="0" headerRowDxfId="3265" dataDxfId="3264">
  <autoFilter ref="A8:F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72A0B6A-F7DD-44E4-97EA-672FECFDC1E9}" name="DAG" dataDxfId="1691">
      <calculatedColumnFormula>PROPER(TEXT(B9, "dddd"))</calculatedColumnFormula>
    </tableColumn>
    <tableColumn id="2" xr3:uid="{BCEA5910-AA25-4880-932C-955E380EC045}" name="DATUM" dataDxfId="1689">
      <calculatedColumnFormula>Torsdag29</calculatedColumnFormula>
    </tableColumn>
    <tableColumn id="3" xr3:uid="{16600121-77BE-4679-91F7-BC2460DAEAC7}" name="Tid1" dataDxfId="1690"/>
    <tableColumn id="4" xr3:uid="{DDCF9AE5-343E-46F3-A4EB-C8FBBAA52F08}" name="TID" dataDxfId="3263"/>
    <tableColumn id="5" xr3:uid="{3DD4E36E-627C-4D8A-9DC2-47BB0F0C267C}" name="ANTAL" dataDxfId="3262"/>
    <tableColumn id="6" xr3:uid="{41E65A6B-45AF-47E6-AFEF-05B80D82C710}" name="GRUPP/LAG/SKOLA/ETC." dataDxfId="3261"/>
  </tableColumns>
  <tableStyleInfo name="Hallbokningsschema 2" showFirstColumn="0" showLastColumn="0" showRowStripes="0" showColumnStripes="0"/>
</table>
</file>

<file path=xl/tables/table2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6" xr:uid="{A63FDD4A-51B1-4FE6-843C-0FC2DCB9AF9E}" name="Tabell538455259808794101108115122129143150157164171178185192199206213220227" displayName="Tabell538455259808794101108115122129143150157164171178185192199206213220227" ref="A10:F11" totalsRowShown="0" headerRowDxfId="3260" dataDxfId="3259">
  <autoFilter ref="A10:F1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00AB268-A3EF-4233-92ED-2E2E1FB5073A}" name="DAG" dataDxfId="1688">
      <calculatedColumnFormula>PROPER(TEXT(B11, "dddd"))</calculatedColumnFormula>
    </tableColumn>
    <tableColumn id="2" xr3:uid="{77726967-1B9A-422A-842D-8A5E0212542F}" name="DATUM" dataDxfId="1686">
      <calculatedColumnFormula>Fredag29</calculatedColumnFormula>
    </tableColumn>
    <tableColumn id="3" xr3:uid="{5A230E6D-B45C-47AB-95CE-72DAAECE03BD}" name="Tid1" dataDxfId="1687"/>
    <tableColumn id="4" xr3:uid="{DFB7E257-0D00-460D-8753-20623D4DB968}" name="TID" dataDxfId="3258"/>
    <tableColumn id="5" xr3:uid="{D1B30F93-C9D6-44FD-90B0-3732CD4D0B23}" name="ANTAL" dataDxfId="3257"/>
    <tableColumn id="6" xr3:uid="{87C5E20C-0BC9-4719-88FE-54F1A2F7DB8C}" name="GRUPP/LAG/SKOLA/ETC." dataDxfId="3256"/>
  </tableColumns>
  <tableStyleInfo name="Hallbokningsschema 2" showFirstColumn="0" showLastColumn="0" showRowStripes="0" showColumnStripes="0"/>
</table>
</file>

<file path=xl/tables/table2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7" xr:uid="{93C5A8DB-2976-4EFF-B44A-17C7806846B6}" name="Tabell639465360818895102109116123130144151158165172179186193200207214221228" displayName="Tabell639465360818895102109116123130144151158165172179186193200207214221228" ref="A12:F13" totalsRowShown="0" headerRowDxfId="3255" dataDxfId="3254">
  <autoFilter ref="A12:F1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5BE05C7-6D63-4D0B-8285-D4C006303691}" name="DAG" dataDxfId="1685">
      <calculatedColumnFormula>PROPER(TEXT(B13, "dddd"))</calculatedColumnFormula>
    </tableColumn>
    <tableColumn id="2" xr3:uid="{1A4DE36A-4901-45EB-9EBA-78AD695F683E}" name="DATUM" dataDxfId="1683">
      <calculatedColumnFormula>Lördag29</calculatedColumnFormula>
    </tableColumn>
    <tableColumn id="3" xr3:uid="{6FC4D2A7-2A28-4CB0-8EF6-1F796B2FE1F8}" name="Tid1" dataDxfId="1684"/>
    <tableColumn id="4" xr3:uid="{75DB44FB-4CCF-4BA8-9976-E5620489905A}" name="TID" dataDxfId="3253"/>
    <tableColumn id="5" xr3:uid="{CDA67DF6-1DE4-4F38-9757-EBE2BE7AD49E}" name="ANTAL" dataDxfId="3252"/>
    <tableColumn id="6" xr3:uid="{66143695-A7A7-4238-BD00-CC235926628A}" name="GRUPP/LAG/SKOLA/ETC." dataDxfId="3251"/>
  </tableColumns>
  <tableStyleInfo name="Hallbokningsschema 2" showFirstColumn="0" showLastColumn="0" showRowStripes="0" showColumnStripes="0"/>
</table>
</file>

<file path=xl/tables/table2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8" xr:uid="{58453EFE-6C2C-499D-A1F7-C98F8823EDA8}" name="Tabell740475461828996103110117124131145152159166173180187194201208215222229" displayName="Tabell740475461828996103110117124131145152159166173180187194201208215222229" ref="A14:F15" totalsRowShown="0" headerRowDxfId="3250" dataDxfId="3249">
  <autoFilter ref="A14:F1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0823FC2-7DA9-4BEB-8A94-7AE6048EE1F6}" name="DAG" dataDxfId="1682">
      <calculatedColumnFormula>PROPER(TEXT(B15, "dddd"))</calculatedColumnFormula>
    </tableColumn>
    <tableColumn id="2" xr3:uid="{3F894CF4-84DF-4AE9-BD62-9896050460EA}" name="DATUM" dataDxfId="1680">
      <calculatedColumnFormula>Söndag29</calculatedColumnFormula>
    </tableColumn>
    <tableColumn id="3" xr3:uid="{93725C90-7474-445C-9511-F01664632029}" name="Tid1" dataDxfId="1681"/>
    <tableColumn id="4" xr3:uid="{DB0C2B80-0357-4A96-926E-51E781692564}" name="TID" dataDxfId="3248"/>
    <tableColumn id="5" xr3:uid="{574BC770-FA18-498D-B715-E8A020379741}" name="ANTAL" dataDxfId="3247"/>
    <tableColumn id="6" xr3:uid="{A3210EEA-2065-4C3B-B73F-DB2AC4DAC8E7}" name="GRUPP/LAG/SKOLA/ETC." dataDxfId="3246"/>
  </tableColumns>
  <tableStyleInfo name="Hallbokningsschema 2" showFirstColumn="0" showLastColumn="0" showRowStripes="0" showColumnStripes="0"/>
</table>
</file>

<file path=xl/tables/table2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5" xr:uid="{84F42425-CD7B-40C4-A965-A017E609DD02}" name="Tabell13441485576839097104111118125139146153160167174181188195202209216" displayName="Tabell13441485576839097104111118125139146153160167174181188195202209216" ref="A2:F3" totalsRowShown="0" headerRowDxfId="3245" dataDxfId="3244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A218069-7B76-4532-90D9-71F2B1A1A5B1}" name="DAG" dataDxfId="1679">
      <calculatedColumnFormula>PROPER(TEXT(B3, "dddd"))</calculatedColumnFormula>
    </tableColumn>
    <tableColumn id="2" xr3:uid="{F6EB05F4-559A-4769-BF26-2E40535F7237}" name="DATUM" dataDxfId="1677">
      <calculatedColumnFormula>Måndag30</calculatedColumnFormula>
    </tableColumn>
    <tableColumn id="3" xr3:uid="{F98EE0C8-B8F8-4F4A-A823-684E9A3D0C13}" name="Tid1" dataDxfId="1678"/>
    <tableColumn id="4" xr3:uid="{78E241BE-073A-40B4-A5D3-8BD041E1F1F7}" name="TID" dataDxfId="3243"/>
    <tableColumn id="5" xr3:uid="{FBAD4020-00A1-445D-AC8A-AB55C788B7A0}" name="ANTAL" dataDxfId="3242"/>
    <tableColumn id="6" xr3:uid="{A088FDCC-1AC9-44BA-B83E-E1A1DFD5CC33}" name="GRUPP/LAG/SKOLA/ETC." dataDxfId="3241"/>
  </tableColumns>
  <tableStyleInfo name="Hallbokningsschema 2" showFirstColumn="0" showLastColumn="0" showRowStripes="0" showColumnStripes="0"/>
</table>
</file>

<file path=xl/tables/table2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6" xr:uid="{3D96F385-9489-4484-B545-20D3A252B178}" name="Tabell23542495677849198105112119126140147154161168175182189196203210217" displayName="Tabell23542495677849198105112119126140147154161168175182189196203210217" ref="A4:F5" totalsRowShown="0" headerRowDxfId="3240" dataDxfId="3239">
  <autoFilter ref="A4:F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DB07C97-1FCB-4FE3-96F4-E520710C92F4}" name="DAG" dataDxfId="1676">
      <calculatedColumnFormula>PROPER(TEXT(B5, "dddd"))</calculatedColumnFormula>
    </tableColumn>
    <tableColumn id="2" xr3:uid="{6FF4895C-ACDC-43A6-9E4F-F3F57E0F0D1A}" name="DATUM" dataDxfId="1674">
      <calculatedColumnFormula>Tisdag30</calculatedColumnFormula>
    </tableColumn>
    <tableColumn id="3" xr3:uid="{891088BA-2BB9-4BCA-858E-FE33F9C73280}" name="Tid1" dataDxfId="1675"/>
    <tableColumn id="4" xr3:uid="{B4DBD8E5-90E9-4236-AEBC-8BCBAAB26D65}" name="TID" dataDxfId="3238"/>
    <tableColumn id="5" xr3:uid="{439EB910-4F3C-46AA-8176-8C6A2F0A5F9F}" name="ANTAL" dataDxfId="3237"/>
    <tableColumn id="6" xr3:uid="{67004D75-F3D0-4A49-8B56-AF7E0BF90F12}" name="GRUPP/LAG/SKOLA/ETC." dataDxfId="3236"/>
  </tableColumns>
  <tableStyleInfo name="Hallbokningsschema 2" showFirstColumn="0" showLastColumn="0" showRowStripes="0" showColumnStripes="0"/>
</table>
</file>

<file path=xl/tables/table2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7" xr:uid="{2C37A218-6C94-455E-B30E-E7A70535DBA0}" name="Tabell33643505778859299106113120127141148155162169176183190197204211218" displayName="Tabell33643505778859299106113120127141148155162169176183190197204211218" ref="A6:F7" totalsRowShown="0" headerRowDxfId="3235" dataDxfId="3234">
  <autoFilter ref="A6:F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91938B3-C1F3-48D4-8185-53EF6563BBA7}" name="DAG" dataDxfId="1673">
      <calculatedColumnFormula>PROPER(TEXT(B7, "dddd"))</calculatedColumnFormula>
    </tableColumn>
    <tableColumn id="2" xr3:uid="{A844059D-D32B-46AF-8EFB-2CD5C5EC46E9}" name="DATUM" dataDxfId="1671">
      <calculatedColumnFormula>Onsdag30</calculatedColumnFormula>
    </tableColumn>
    <tableColumn id="3" xr3:uid="{993DE3B9-A7D5-43E6-9062-64730F817E10}" name="Tid1" dataDxfId="1672"/>
    <tableColumn id="4" xr3:uid="{1640635F-F060-478B-B1CF-292FFD861994}" name="TID" dataDxfId="3233"/>
    <tableColumn id="5" xr3:uid="{6A95F309-890B-4F65-8A74-56C6D4EB06C4}" name="ANTAL" dataDxfId="3232"/>
    <tableColumn id="6" xr3:uid="{FF738442-9ECF-4D9A-B371-23A36A65DF8B}" name="GRUPP/LAG/SKOLA/ETC." dataDxfId="3231"/>
  </tableColumns>
  <tableStyleInfo name="Hallbokningsschema 2" showFirstColumn="0" showLastColumn="0" showRowStripes="0" showColumnStripes="0"/>
</table>
</file>

<file path=xl/tables/table2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8" xr:uid="{EB375D75-177F-4347-BBC4-78C035622360}" name="Tabell437445158798693100107114121128142149156163170177184191198205212219" displayName="Tabell437445158798693100107114121128142149156163170177184191198205212219" ref="A8:F9" totalsRowShown="0" headerRowDxfId="3230" dataDxfId="3229">
  <autoFilter ref="A8:F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02365CC-FEE5-44CB-AF18-B545821CA687}" name="DAG" dataDxfId="1670">
      <calculatedColumnFormula>PROPER(TEXT(B9, "dddd"))</calculatedColumnFormula>
    </tableColumn>
    <tableColumn id="2" xr3:uid="{F533918E-2105-48BE-A8DA-E9206E26D860}" name="DATUM" dataDxfId="1668">
      <calculatedColumnFormula>Torsdag30</calculatedColumnFormula>
    </tableColumn>
    <tableColumn id="3" xr3:uid="{26D7C1FB-4EB5-477A-B0E9-6B0B9A4A403F}" name="Tid1" dataDxfId="1669"/>
    <tableColumn id="4" xr3:uid="{6155CC30-0D81-4F94-A569-EEA31AB2F24E}" name="TID" dataDxfId="3228"/>
    <tableColumn id="5" xr3:uid="{4A8A5656-29B3-4AEC-9447-F55041A5C3EF}" name="ANTAL" dataDxfId="3227"/>
    <tableColumn id="6" xr3:uid="{8D9AB6A5-E5B0-4D10-AA6A-D3366E034F19}" name="GRUPP/LAG/SKOLA/ETC." dataDxfId="3226"/>
  </tableColumns>
  <tableStyleInfo name="Hallbokningsschema 2" showFirstColumn="0" showLastColumn="0" showRowStripes="0" showColumnStripes="0"/>
</table>
</file>

<file path=xl/tables/table2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9" xr:uid="{98A2D31F-BF85-404B-851D-77E433D565C0}" name="Tabell538455259808794101108115122129143150157164171178185192199206213220" displayName="Tabell538455259808794101108115122129143150157164171178185192199206213220" ref="A10:F11" totalsRowShown="0" headerRowDxfId="3225" dataDxfId="3224">
  <autoFilter ref="A10:F1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4C1FE3B-2FA0-4308-9E14-F22410D47BCA}" name="DAG" dataDxfId="1667">
      <calculatedColumnFormula>PROPER(TEXT(B11, "dddd"))</calculatedColumnFormula>
    </tableColumn>
    <tableColumn id="2" xr3:uid="{AB5DEEBF-94BC-4099-B1DC-ADF47E4C02D5}" name="DATUM" dataDxfId="1665">
      <calculatedColumnFormula>Fredag30</calculatedColumnFormula>
    </tableColumn>
    <tableColumn id="3" xr3:uid="{44A5FB96-36C4-491D-97D1-D0A132A18BFD}" name="Tid1" dataDxfId="1666"/>
    <tableColumn id="4" xr3:uid="{CE48DC46-2903-4150-A4CF-DE712D1E2406}" name="TID" dataDxfId="3223"/>
    <tableColumn id="5" xr3:uid="{1E1A40E9-59F7-429A-87E0-897D08D6FD36}" name="ANTAL" dataDxfId="3222"/>
    <tableColumn id="6" xr3:uid="{DD6B3FCB-3DFE-476F-90C9-2AFCCE0372EC}" name="GRUPP/LAG/SKOLA/ETC." dataDxfId="3221"/>
  </tableColumns>
  <tableStyleInfo name="Hallbokningsschema 2" showFirstColumn="0" showLastColumn="0" showRowStripes="0" showColumnStripes="0"/>
</table>
</file>

<file path=xl/tables/table2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3CC8E4FB-D271-42A0-A946-ED5CEB0BEB16}" name="Tabell639465360818895102109116123130144151158165172179186193200207214221" displayName="Tabell639465360818895102109116123130144151158165172179186193200207214221" ref="A12:F13" totalsRowShown="0" headerRowDxfId="3220" dataDxfId="3219">
  <autoFilter ref="A12:F1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9EE5CDA-5C79-4BF4-BED6-2FB86AB3506C}" name="DAG" dataDxfId="1664">
      <calculatedColumnFormula>PROPER(TEXT(B13, "dddd"))</calculatedColumnFormula>
    </tableColumn>
    <tableColumn id="2" xr3:uid="{410891B3-5548-4D87-80B7-DB620C23681A}" name="DATUM" dataDxfId="1662">
      <calculatedColumnFormula>Lördag30</calculatedColumnFormula>
    </tableColumn>
    <tableColumn id="3" xr3:uid="{42EEE283-1C09-4757-B10E-8E3E3D05E098}" name="Tid1" dataDxfId="1663"/>
    <tableColumn id="4" xr3:uid="{2590B3B0-DFB2-4DEB-A1C8-B0A2833FA2B8}" name="TID" dataDxfId="3218"/>
    <tableColumn id="5" xr3:uid="{122C982F-4638-4EA2-A1DF-D53A64D52EE1}" name="ANTAL" dataDxfId="3217"/>
    <tableColumn id="6" xr3:uid="{FAE8C055-0643-4AC1-98D9-DA7BB4DCC4C1}" name="GRUPP/LAG/SKOLA/ETC." dataDxfId="3216"/>
  </tableColumns>
  <tableStyleInfo name="Hallbokningsschema 2" showFirstColumn="0" showLastColumn="0" showRowStripes="0" showColumnStripes="0"/>
</table>
</file>

<file path=xl/tables/table2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1" xr:uid="{D78E113D-A3A4-4F0E-A564-6CCB9BFE231D}" name="Tabell740475461828996103110117124131145152159166173180187194201208215222" displayName="Tabell740475461828996103110117124131145152159166173180187194201208215222" ref="A14:F15" totalsRowShown="0" headerRowDxfId="3215" dataDxfId="3214">
  <autoFilter ref="A14:F1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0A92116-9F33-47A0-88D0-FAB4F3982F8C}" name="DAG" dataDxfId="1661">
      <calculatedColumnFormula>PROPER(TEXT(B15, "dddd"))</calculatedColumnFormula>
    </tableColumn>
    <tableColumn id="2" xr3:uid="{D8D78017-A69D-47EC-8BEA-B9FF1C6D4FED}" name="DATUM" dataDxfId="1659">
      <calculatedColumnFormula>Söndag30</calculatedColumnFormula>
    </tableColumn>
    <tableColumn id="3" xr3:uid="{B094D285-AECE-4E21-964F-64DBACF74B5B}" name="Tid1" dataDxfId="1660"/>
    <tableColumn id="4" xr3:uid="{C018037E-5A61-4659-AAA2-115EAAAA9F18}" name="TID" dataDxfId="3213"/>
    <tableColumn id="5" xr3:uid="{84CCE0A8-A41C-4DBC-939F-8D72666BA168}" name="ANTAL" dataDxfId="3212"/>
    <tableColumn id="6" xr3:uid="{CF96A25E-C307-4CE0-B2A1-5E8DE397F6BC}" name="GRUPP/LAG/SKOLA/ETC." dataDxfId="3211"/>
  </tableColumns>
  <tableStyleInfo name="Hallbokningsschema 2" showFirstColumn="0" showLastColumn="0" showRowStripes="0" showColumnStripes="0"/>
</table>
</file>

<file path=xl/tables/table2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DD898AD3-0755-4FD2-8F8D-4EE9A7590A2A}" name="Tabell13441485576839097104111118125139146153160167174181188195202209" displayName="Tabell13441485576839097104111118125139146153160167174181188195202209" ref="A2:F3" totalsRowShown="0" headerRowDxfId="3210" dataDxfId="3209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5A0318C-C802-4573-B2FE-4C5ACBADBAF3}" name="DAG" dataDxfId="1658">
      <calculatedColumnFormula>PROPER(TEXT(B3, "dddd"))</calculatedColumnFormula>
    </tableColumn>
    <tableColumn id="2" xr3:uid="{B2F5FBA0-C6D9-44DB-999D-EAD81F2E5F43}" name="DATUM" dataDxfId="1656">
      <calculatedColumnFormula>Måndag31</calculatedColumnFormula>
    </tableColumn>
    <tableColumn id="3" xr3:uid="{DD30CD86-45BA-4B86-9636-94B2A90E3A58}" name="Tid1" dataDxfId="1657"/>
    <tableColumn id="4" xr3:uid="{C6B7E162-4D91-4914-B0B6-ED997D77D6E7}" name="TID" dataDxfId="3208"/>
    <tableColumn id="5" xr3:uid="{CA15336A-035D-4C98-ABC5-3FC3ECB38739}" name="ANTAL" dataDxfId="3207"/>
    <tableColumn id="6" xr3:uid="{4B760C4C-F148-4E19-A756-8156A9BA41DE}" name="GRUPP/LAG/SKOLA/ETC." dataDxfId="3206"/>
  </tableColumns>
  <tableStyleInfo name="Hallbokningsschema 2" showFirstColumn="0" showLastColumn="0" showRowStripes="0" showColumnStripes="0"/>
</table>
</file>

<file path=xl/tables/table2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38D870F4-CF11-43AD-A270-1B168DD972DC}" name="Tabell23542495677849198105112119126140147154161168175182189196203210" displayName="Tabell23542495677849198105112119126140147154161168175182189196203210" ref="A4:F5" totalsRowShown="0" headerRowDxfId="3205" dataDxfId="3204">
  <autoFilter ref="A4:F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184F07C-647A-40B6-8C3A-DC4EAF1D9B4D}" name="DAG" dataDxfId="1655">
      <calculatedColumnFormula>PROPER(TEXT(B5, "dddd"))</calculatedColumnFormula>
    </tableColumn>
    <tableColumn id="2" xr3:uid="{8B5E2E5F-C62F-4C00-917D-220E8E8720A5}" name="DATUM" dataDxfId="1653">
      <calculatedColumnFormula>Tisdag31</calculatedColumnFormula>
    </tableColumn>
    <tableColumn id="3" xr3:uid="{748BB0EA-DCCC-43DD-AFB9-44F0D6C1C871}" name="Tid1" dataDxfId="1654"/>
    <tableColumn id="4" xr3:uid="{1DDAE803-8ABB-4635-9D12-0949DAD17DD2}" name="TID" dataDxfId="3203"/>
    <tableColumn id="5" xr3:uid="{19DA25A2-AD39-46F9-88EC-58ACEB205F1B}" name="ANTAL" dataDxfId="3202"/>
    <tableColumn id="6" xr3:uid="{F6EA28F3-47DE-45FF-8244-F1C7FCF59CFA}" name="GRUPP/LAG/SKOLA/ETC." dataDxfId="3201"/>
  </tableColumns>
  <tableStyleInfo name="Hallbokningsschema 2" showFirstColumn="0" showLastColumn="0" showRowStripes="0" showColumnStripes="0"/>
</table>
</file>

<file path=xl/tables/table2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93EEC64C-9AFE-47A1-9842-451853EC4A2F}" name="Tabell33643505778859299106113120127141148155162169176183190197204211" displayName="Tabell33643505778859299106113120127141148155162169176183190197204211" ref="A6:F7" totalsRowShown="0" headerRowDxfId="3200" dataDxfId="3199">
  <autoFilter ref="A6:F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3AA7AC9-526F-4B7B-862C-58E484F4A838}" name="DAG" dataDxfId="1652">
      <calculatedColumnFormula>PROPER(TEXT(B7, "dddd"))</calculatedColumnFormula>
    </tableColumn>
    <tableColumn id="2" xr3:uid="{F60C663C-BC54-4EC0-A3C7-00D06B89BE5B}" name="DATUM" dataDxfId="1650">
      <calculatedColumnFormula>Onsdag31</calculatedColumnFormula>
    </tableColumn>
    <tableColumn id="3" xr3:uid="{58D85792-84A4-4886-8E30-0DE08D0C6641}" name="Tid1" dataDxfId="1651"/>
    <tableColumn id="4" xr3:uid="{D77FDCEC-6044-4B49-BAB9-1318107BBC0B}" name="TID" dataDxfId="3198"/>
    <tableColumn id="5" xr3:uid="{4333BE55-85B3-4AA8-AB1A-CEFCF73FDA38}" name="ANTAL" dataDxfId="3197"/>
    <tableColumn id="6" xr3:uid="{D8694C91-69D7-4B60-916A-A57ACA7986B2}" name="GRUPP/LAG/SKOLA/ETC." dataDxfId="3196"/>
  </tableColumns>
  <tableStyleInfo name="Hallbokningsschema 2" showFirstColumn="0" showLastColumn="0" showRowStripes="0" showColumnStripes="0"/>
</table>
</file>

<file path=xl/tables/table2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9D84D1B3-106E-41BA-ABBF-D8A67A2CFB88}" name="Tabell437445158798693100107114121128142149156163170177184191198205212" displayName="Tabell437445158798693100107114121128142149156163170177184191198205212" ref="A8:F9" totalsRowShown="0" headerRowDxfId="3195" dataDxfId="3194">
  <autoFilter ref="A8:F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8C3960E-FE4B-4062-ABAD-4A94DA401030}" name="DAG" dataDxfId="1649">
      <calculatedColumnFormula>PROPER(TEXT(B9, "dddd"))</calculatedColumnFormula>
    </tableColumn>
    <tableColumn id="2" xr3:uid="{F55A48D2-493C-411A-AA1F-DF55088E55C9}" name="DATUM" dataDxfId="1647">
      <calculatedColumnFormula>Torsdag31</calculatedColumnFormula>
    </tableColumn>
    <tableColumn id="3" xr3:uid="{9E27D057-917E-47F7-B750-26CA2E74DDAC}" name="Tid1" dataDxfId="1648"/>
    <tableColumn id="4" xr3:uid="{4E3E5D70-04A5-405D-82D9-E840FFDA6BCB}" name="TID" dataDxfId="3193"/>
    <tableColumn id="5" xr3:uid="{CB03C778-71D7-4BF7-9E18-4EDBEDD34A3E}" name="ANTAL" dataDxfId="3192"/>
    <tableColumn id="6" xr3:uid="{F5E8E161-3FE9-490A-9FBB-9A7AB1D4831D}" name="GRUPP/LAG/SKOLA/ETC." dataDxfId="3191"/>
  </tableColumns>
  <tableStyleInfo name="Hallbokningsschema 2" showFirstColumn="0" showLastColumn="0" showRowStripes="0" showColumnStripes="0"/>
</table>
</file>

<file path=xl/tables/table2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548E8CC9-19E8-4386-B3BA-1D6613DD903C}" name="Tabell538455259808794101108115122129143150157164171178185192199206213" displayName="Tabell538455259808794101108115122129143150157164171178185192199206213" ref="A10:F11" totalsRowShown="0" headerRowDxfId="3190" dataDxfId="3189">
  <autoFilter ref="A10:F1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E0B9B0F-88A5-429E-BC01-001196C1359D}" name="DAG" dataDxfId="1646">
      <calculatedColumnFormula>PROPER(TEXT(B11, "dddd"))</calculatedColumnFormula>
    </tableColumn>
    <tableColumn id="2" xr3:uid="{A480B010-FBDF-4F7B-B2BE-CF101E5573C8}" name="DATUM" dataDxfId="1644">
      <calculatedColumnFormula>Fredag31</calculatedColumnFormula>
    </tableColumn>
    <tableColumn id="3" xr3:uid="{F9B6A5B9-B375-43A6-90AD-221C00A73B18}" name="Tid1" dataDxfId="1645"/>
    <tableColumn id="4" xr3:uid="{F9EA0DAC-A592-45C7-87CF-CB35606CEA37}" name="TID" dataDxfId="3188"/>
    <tableColumn id="5" xr3:uid="{1D3D873E-9C19-40D1-BFB8-CD078ADACD44}" name="ANTAL" dataDxfId="3187"/>
    <tableColumn id="6" xr3:uid="{6F0F4FCF-9BA6-432D-AC9A-EDC22B45E9C4}" name="GRUPP/LAG/SKOLA/ETC." dataDxfId="3186"/>
  </tableColumns>
  <tableStyleInfo name="Hallbokningsschema 2" showFirstColumn="0" showLastColumn="0" showRowStripes="0" showColumnStripes="0"/>
</table>
</file>

<file path=xl/tables/table2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1685A81A-FF07-43ED-A549-1C07B478A970}" name="Tabell639465360818895102109116123130144151158165172179186193200207214" displayName="Tabell639465360818895102109116123130144151158165172179186193200207214" ref="A12:F13" totalsRowShown="0" headerRowDxfId="3185" dataDxfId="3184">
  <autoFilter ref="A12:F1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F081771-784E-4203-A767-4A33DCBC51BF}" name="DAG" dataDxfId="1643">
      <calculatedColumnFormula>PROPER(TEXT(B13, "dddd"))</calculatedColumnFormula>
    </tableColumn>
    <tableColumn id="2" xr3:uid="{DE5F1CEF-465F-4FBB-A502-5E64A0DA550C}" name="DATUM" dataDxfId="1641">
      <calculatedColumnFormula>Lördag31</calculatedColumnFormula>
    </tableColumn>
    <tableColumn id="3" xr3:uid="{79C0DAD2-D522-4535-A14E-00E24449B9CC}" name="Tid1" dataDxfId="1642"/>
    <tableColumn id="4" xr3:uid="{696F8430-DE2C-46A3-A384-D4961293F434}" name="TID" dataDxfId="3183"/>
    <tableColumn id="5" xr3:uid="{B2EA8796-8F2D-4043-8E1E-6A1279F773F0}" name="ANTAL" dataDxfId="3182"/>
    <tableColumn id="6" xr3:uid="{4236C3AB-DC48-4FCC-8CB7-3BEC9614C87D}" name="GRUPP/LAG/SKOLA/ETC." dataDxfId="3181"/>
  </tableColumns>
  <tableStyleInfo name="Hallbokningsschema 2" showFirstColumn="0" showLastColumn="0" showRowStripes="0" showColumnStripes="0"/>
</table>
</file>

<file path=xl/tables/table2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4" xr:uid="{D799D5CC-ACB8-4937-B79F-5056E9FF6D28}" name="Tabell740475461828996103110117124131145152159166173180187194201208215" displayName="Tabell740475461828996103110117124131145152159166173180187194201208215" ref="A14:F15" totalsRowShown="0" headerRowDxfId="3180" dataDxfId="3179">
  <autoFilter ref="A14:F1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36F4AF0-9252-4AEC-A1C3-16067B5E74BE}" name="DAG" dataDxfId="1640">
      <calculatedColumnFormula>PROPER(TEXT(B15, "dddd"))</calculatedColumnFormula>
    </tableColumn>
    <tableColumn id="2" xr3:uid="{D275FBCB-E500-4277-BC8D-0733A8CD5ADC}" name="DATUM" dataDxfId="1638">
      <calculatedColumnFormula>Söndag31</calculatedColumnFormula>
    </tableColumn>
    <tableColumn id="3" xr3:uid="{C395E4F0-1694-4A98-BF6D-1AC7CEF269E0}" name="Tid1" dataDxfId="1639"/>
    <tableColumn id="4" xr3:uid="{21F7E069-CBB9-4256-81A7-CEC163DF19C2}" name="TID" dataDxfId="3178"/>
    <tableColumn id="5" xr3:uid="{C83B67C9-478C-4632-BDFF-C696CBE94123}" name="ANTAL" dataDxfId="3177"/>
    <tableColumn id="6" xr3:uid="{785135E4-6907-4479-9B6C-DE5C79426449}" name="GRUPP/LAG/SKOLA/ETC." dataDxfId="3176"/>
  </tableColumns>
  <tableStyleInfo name="Hallbokningsschema 2" showFirstColumn="0" showLastColumn="0" showRowStripes="0" showColumnStripes="0"/>
</table>
</file>

<file path=xl/tables/table2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9A1E0AD6-0E28-43CA-90D7-5344524A06DD}" name="Tabell13441485576839097104111118125139146153160167174181188195" displayName="Tabell13441485576839097104111118125139146153160167174181188195" ref="A2:F5" totalsRowShown="0" headerRowDxfId="3175" dataDxfId="3174">
  <autoFilter ref="A2:F5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5">
    <sortCondition ref="C3:C5"/>
  </sortState>
  <tableColumns count="6">
    <tableColumn id="1" xr3:uid="{288E36C7-7554-497D-8202-C9C609F39E13}" name="DAG" dataDxfId="1637">
      <calculatedColumnFormula>PROPER(TEXT(B3, "dddd"))</calculatedColumnFormula>
    </tableColumn>
    <tableColumn id="2" xr3:uid="{319715FA-A865-4368-B0F0-E97C204DFD84}" name="DATUM" dataDxfId="1635">
      <calculatedColumnFormula>Måndag32</calculatedColumnFormula>
    </tableColumn>
    <tableColumn id="3" xr3:uid="{550976CC-3B0A-41CE-9127-C81C1958A800}" name="Tid1" dataDxfId="1636"/>
    <tableColumn id="4" xr3:uid="{B274A5D8-E5D6-4871-91A3-525FE06407D9}" name="TID" dataDxfId="3173"/>
    <tableColumn id="5" xr3:uid="{451244AC-97BC-42C8-BCAE-7381830C0013}" name="ANTAL" dataDxfId="3172"/>
    <tableColumn id="6" xr3:uid="{476523D7-D3D1-44AA-AECA-F06F55CE424A}" name="GRUPP/LAG/SKOLA/ETC." dataDxfId="3171"/>
  </tableColumns>
  <tableStyleInfo name="Hallbokningsschema 2" showFirstColumn="0" showLastColumn="0" showRowStripes="0" showColumnStripes="0"/>
</table>
</file>

<file path=xl/tables/table2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002B5663-7161-434F-9E6B-3CFA9EB73617}" name="Tabell23542495677849198105112119126140147154161168175182189196" displayName="Tabell23542495677849198105112119126140147154161168175182189196" ref="A6:F11" totalsRowShown="0" headerRowDxfId="3170" dataDxfId="3169">
  <autoFilter ref="A6:F11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7:F11">
    <sortCondition ref="C7:C11"/>
  </sortState>
  <tableColumns count="6">
    <tableColumn id="1" xr3:uid="{31F4A73C-87BB-4D7F-B6D4-7D7D933DA0F0}" name="DAG" dataDxfId="1634">
      <calculatedColumnFormula>PROPER(TEXT(B7, "dddd"))</calculatedColumnFormula>
    </tableColumn>
    <tableColumn id="2" xr3:uid="{2CD0F864-B171-4290-9201-65B89A01EA0E}" name="DATUM" dataDxfId="1632">
      <calculatedColumnFormula>Tisdag32</calculatedColumnFormula>
    </tableColumn>
    <tableColumn id="3" xr3:uid="{F9E6B35D-3F27-41F0-922E-2A49BDA68D5D}" name="Tid1" dataDxfId="1633"/>
    <tableColumn id="4" xr3:uid="{69E97137-478C-4718-B94C-3C25E2FC8F4F}" name="TID" dataDxfId="3168"/>
    <tableColumn id="5" xr3:uid="{C5AFD524-3493-4325-9834-B71BEEB81F1D}" name="ANTAL" dataDxfId="3167"/>
    <tableColumn id="6" xr3:uid="{B8EA706D-64B6-4BEA-BFFA-94CB483EB51F}" name="GRUPP/LAG/SKOLA/ETC." dataDxfId="3166"/>
  </tableColumns>
  <tableStyleInfo name="Hallbokningsschema 2" showFirstColumn="0" showLastColumn="0" showRowStripes="0" showColumnStripes="0"/>
</table>
</file>

<file path=xl/tables/table2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367C1413-DBA6-429A-877E-BD1306E7498E}" name="Tabell33643505778859299106113120127141148155162169176183190197" displayName="Tabell33643505778859299106113120127141148155162169176183190197" ref="A12:F13" totalsRowShown="0" headerRowDxfId="3165" dataDxfId="3164">
  <autoFilter ref="A12:F13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8A9B6C9-8D10-40EA-9887-17977BB5C837}" name="DAG" dataDxfId="1631">
      <calculatedColumnFormula>PROPER(TEXT(B13, "dddd"))</calculatedColumnFormula>
    </tableColumn>
    <tableColumn id="2" xr3:uid="{21657F98-77B7-45C1-A163-49C8DCDA9D0F}" name="DATUM" dataDxfId="1629">
      <calculatedColumnFormula>Onsdag32</calculatedColumnFormula>
    </tableColumn>
    <tableColumn id="3" xr3:uid="{9F4113FA-553A-4640-9DED-3525AF1545C7}" name="Tid1" dataDxfId="1630"/>
    <tableColumn id="4" xr3:uid="{EDFC5491-ECAC-4964-9FAE-A4B734884C3A}" name="TID" dataDxfId="3163"/>
    <tableColumn id="5" xr3:uid="{AEE84B69-CA20-4B61-9065-89D86A93E764}" name="ANTAL" dataDxfId="3162"/>
    <tableColumn id="6" xr3:uid="{D972E3E9-EF12-45D3-ABB6-D64AC7A7263E}" name="GRUPP/LAG/SKOLA/ETC." dataDxfId="3161"/>
  </tableColumns>
  <tableStyleInfo name="Hallbokningsschema 2" showFirstColumn="0" showLastColumn="0" showRowStripes="0" showColumnStripes="0"/>
</table>
</file>

<file path=xl/tables/table2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3992405A-3E98-4408-AC5B-601F9418467C}" name="Tabell437445158798693100107114121128142149156163170177184191198" displayName="Tabell437445158798693100107114121128142149156163170177184191198" ref="A14:F15" totalsRowShown="0" headerRowDxfId="3160" dataDxfId="3159">
  <autoFilter ref="A14:F15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7B3A76E-30B2-46E8-83B2-DE647408D688}" name="DAG" dataDxfId="1628">
      <calculatedColumnFormula>PROPER(TEXT(B15, "dddd"))</calculatedColumnFormula>
    </tableColumn>
    <tableColumn id="2" xr3:uid="{CE2CAEAD-BCAE-45AB-BAA5-3C04315B92E7}" name="DATUM" dataDxfId="1626">
      <calculatedColumnFormula>Torsdag32</calculatedColumnFormula>
    </tableColumn>
    <tableColumn id="3" xr3:uid="{1376393A-0537-40FE-A90D-9A952E9B97CC}" name="Tid1" dataDxfId="1627"/>
    <tableColumn id="4" xr3:uid="{5116ED56-5B0E-41C7-B97E-CAEA0F9500DC}" name="TID" dataDxfId="3158"/>
    <tableColumn id="5" xr3:uid="{7D8F153D-544B-4E68-9A3F-E99C58B22F03}" name="ANTAL" dataDxfId="3157"/>
    <tableColumn id="6" xr3:uid="{C924D988-9281-4557-BBFE-ADC21F941E54}" name="GRUPP/LAG/SKOLA/ETC." dataDxfId="3156"/>
  </tableColumns>
  <tableStyleInfo name="Hallbokningsschema 2" showFirstColumn="0" showLastColumn="0" showRowStripes="0" showColumnStripes="0"/>
</table>
</file>

<file path=xl/tables/table2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DAF027C2-0E68-4478-9679-9750445EF4FE}" name="Tabell538455259808794101108115122129143150157164171178185192199" displayName="Tabell538455259808794101108115122129143150157164171178185192199" ref="A16:F17" totalsRowShown="0" headerRowDxfId="3155" dataDxfId="3154">
  <autoFilter ref="A16:F17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6BFB753-BA90-4A78-AB81-4542570F5BC0}" name="DAG" dataDxfId="1625">
      <calculatedColumnFormula>PROPER(TEXT(B17, "dddd"))</calculatedColumnFormula>
    </tableColumn>
    <tableColumn id="2" xr3:uid="{3E148639-04F8-4988-8635-157FE6E9F003}" name="DATUM" dataDxfId="1623">
      <calculatedColumnFormula>Fredag32</calculatedColumnFormula>
    </tableColumn>
    <tableColumn id="3" xr3:uid="{CB24B496-880F-4C13-AAB1-9280C9C68BE4}" name="Tid1" dataDxfId="1624"/>
    <tableColumn id="4" xr3:uid="{0625C837-C727-4D02-B140-DF587E7C4B94}" name="TID" dataDxfId="3153"/>
    <tableColumn id="5" xr3:uid="{E6CACC1F-6AB8-431C-8BDA-BB5E90D07F9B}" name="ANTAL" dataDxfId="3152"/>
    <tableColumn id="6" xr3:uid="{513F4FF4-566D-4E2E-A83C-06C65ED6A8B4}" name="GRUPP/LAG/SKOLA/ETC." dataDxfId="3151"/>
  </tableColumns>
  <tableStyleInfo name="Hallbokningsschema 2" showFirstColumn="0" showLastColumn="0" showRowStripes="0" showColumnStripes="0"/>
</table>
</file>

<file path=xl/tables/table2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B4D0BCEF-7F74-43EE-BEA9-7411CC7A4C93}" name="Tabell639465360818895102109116123130144151158165172179186193200" displayName="Tabell639465360818895102109116123130144151158165172179186193200" ref="A18:F19" totalsRowShown="0" headerRowDxfId="3150" dataDxfId="3149">
  <autoFilter ref="A18:F19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11B7C23-3E9D-48D7-8453-2C528B2E1C71}" name="DAG" dataDxfId="1622">
      <calculatedColumnFormula>PROPER(TEXT(B19, "dddd"))</calculatedColumnFormula>
    </tableColumn>
    <tableColumn id="2" xr3:uid="{F86DB68B-B7D3-4537-81C1-5B9377A0A061}" name="DATUM" dataDxfId="1620">
      <calculatedColumnFormula>Lördag32</calculatedColumnFormula>
    </tableColumn>
    <tableColumn id="3" xr3:uid="{EE26428F-FF50-42AB-9886-57782515DEE6}" name="Tid1" dataDxfId="1621"/>
    <tableColumn id="4" xr3:uid="{DC5082E9-B342-4D44-91C5-DB66BE6A9575}" name="TID" dataDxfId="3148"/>
    <tableColumn id="5" xr3:uid="{BB26ECBF-AB0B-4715-8F44-1C31162571D8}" name="ANTAL" dataDxfId="3147"/>
    <tableColumn id="6" xr3:uid="{97A130C5-302D-4341-9D7B-0DAA9D9C6117}" name="GRUPP/LAG/SKOLA/ETC." dataDxfId="3146"/>
  </tableColumns>
  <tableStyleInfo name="Hallbokningsschema 2" showFirstColumn="0" showLastColumn="0" showRowStripes="0" showColumnStripes="0"/>
</table>
</file>

<file path=xl/tables/table2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392051CC-B67F-4024-824F-E6BD6B530913}" name="Tabell740475461828996103110117124131145152159166173180187194201" displayName="Tabell740475461828996103110117124131145152159166173180187194201" ref="A20:F21" totalsRowShown="0" headerRowDxfId="3145" dataDxfId="3144">
  <autoFilter ref="A20:F21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7E98873-9FB7-41F6-9E03-8D4B68EBDAD4}" name="DAG" dataDxfId="1619">
      <calculatedColumnFormula>PROPER(TEXT(B21, "dddd"))</calculatedColumnFormula>
    </tableColumn>
    <tableColumn id="2" xr3:uid="{4370735F-63DD-494A-95B6-52B87892C345}" name="DATUM" dataDxfId="1617">
      <calculatedColumnFormula>Söndag32</calculatedColumnFormula>
    </tableColumn>
    <tableColumn id="3" xr3:uid="{DC7D64BE-4E56-4E87-B315-B8C62B79B0AB}" name="Tid1" dataDxfId="1618"/>
    <tableColumn id="4" xr3:uid="{0823CE99-E414-46CC-B85E-75A90070F06A}" name="TID" dataDxfId="3143"/>
    <tableColumn id="5" xr3:uid="{D59B4F63-A297-4728-929A-9DE52B5BC6B4}" name="ANTAL" dataDxfId="3142"/>
    <tableColumn id="6" xr3:uid="{CD4B15D1-36B2-41FC-B1EE-76E81BDDCE0F}" name="GRUPP/LAG/SKOLA/ETC." dataDxfId="3141"/>
  </tableColumns>
  <tableStyleInfo name="Hallbokningsschema 2" showFirstColumn="0" showLastColumn="0" showRowStripes="0" showColumnStripes="0"/>
</table>
</file>

<file path=xl/tables/table2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6F7286CE-C650-4092-BBBD-6B71514FDB6D}" name="Tabell13441485576839097104111118125139146153160167174181188" displayName="Tabell13441485576839097104111118125139146153160167174181188" ref="A2:F3" totalsRowShown="0" headerRowDxfId="3140" dataDxfId="3139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D8B4E7A-92AD-4298-96C2-CD6ACEA73973}" name="DAG" dataDxfId="1616">
      <calculatedColumnFormula>PROPER(TEXT(B3, "dddd"))</calculatedColumnFormula>
    </tableColumn>
    <tableColumn id="2" xr3:uid="{7C864380-6E0B-481C-B5E4-D03704EFAA5F}" name="DATUM" dataDxfId="1614">
      <calculatedColumnFormula>Måndag33</calculatedColumnFormula>
    </tableColumn>
    <tableColumn id="3" xr3:uid="{02968BA7-3E5C-4691-B650-0AC64181C1C4}" name="Tid1" dataDxfId="1615"/>
    <tableColumn id="4" xr3:uid="{0EB05A69-041E-492F-A5A2-24760B44420B}" name="TID" dataDxfId="3138"/>
    <tableColumn id="5" xr3:uid="{F69C9F76-BF63-4A2B-81CA-470312593583}" name="ANTAL" dataDxfId="3137"/>
    <tableColumn id="6" xr3:uid="{D66D97F0-0DBC-40B7-B850-7642F9661B18}" name="GRUPP/LAG/SKOLA/ETC." dataDxfId="3136"/>
  </tableColumns>
  <tableStyleInfo name="Hallbokningsschema 2" showFirstColumn="0" showLastColumn="0" showRowStripes="0" showColumnStripes="0"/>
</table>
</file>

<file path=xl/tables/table2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1990250E-4C69-4AE0-8325-EA5669649C23}" name="Tabell23542495677849198105112119126140147154161168175182189" displayName="Tabell23542495677849198105112119126140147154161168175182189" ref="A4:F5" totalsRowShown="0" headerRowDxfId="3135" dataDxfId="3134">
  <autoFilter ref="A4:F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74C428A-5C32-4CF3-8BCF-2E8B871EAA1A}" name="DAG" dataDxfId="1613">
      <calculatedColumnFormula>PROPER(TEXT(B5, "dddd"))</calculatedColumnFormula>
    </tableColumn>
    <tableColumn id="2" xr3:uid="{58B1660F-1E9E-4BEA-896B-0E3D349D271F}" name="DATUM" dataDxfId="1611">
      <calculatedColumnFormula>Tisdag33</calculatedColumnFormula>
    </tableColumn>
    <tableColumn id="3" xr3:uid="{4D7DB186-0AC1-486B-8976-621D65F2D348}" name="Tid1" dataDxfId="1612"/>
    <tableColumn id="4" xr3:uid="{2FEADE04-06A4-4870-866B-CB8A86224567}" name="TID" dataDxfId="3133"/>
    <tableColumn id="5" xr3:uid="{ACC30F40-C18D-4D92-A83A-E178758470B6}" name="ANTAL" dataDxfId="3132"/>
    <tableColumn id="6" xr3:uid="{1BE5BE73-06D1-4D54-BCC7-B8A4A5FDEC41}" name="GRUPP/LAG/SKOLA/ETC." dataDxfId="3131"/>
  </tableColumns>
  <tableStyleInfo name="Hallbokningsschema 2" showFirstColumn="0" showLastColumn="0" showRowStripes="0" showColumnStripes="0"/>
</table>
</file>

<file path=xl/tables/table2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FD92BBAB-F704-4501-A64B-B32783FD7A12}" name="Tabell33643505778859299106113120127141148155162169176183190" displayName="Tabell33643505778859299106113120127141148155162169176183190" ref="A6:F7" totalsRowShown="0" headerRowDxfId="3130" dataDxfId="3129">
  <autoFilter ref="A6:F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CE1678D-C2F5-4B3D-A4BB-3F9022A2EB10}" name="DAG" dataDxfId="1610">
      <calculatedColumnFormula>PROPER(TEXT(B7, "dddd"))</calculatedColumnFormula>
    </tableColumn>
    <tableColumn id="2" xr3:uid="{100A63AF-A074-4DE0-84F5-34E7856DA987}" name="DATUM" dataDxfId="1608">
      <calculatedColumnFormula>Onsdag33</calculatedColumnFormula>
    </tableColumn>
    <tableColumn id="3" xr3:uid="{93588E97-9F20-42D6-812A-880E40C479C1}" name="Tid1" dataDxfId="1609"/>
    <tableColumn id="4" xr3:uid="{5DD70A09-3002-4994-BF38-5F0B58F8C5A5}" name="TID" dataDxfId="3128"/>
    <tableColumn id="5" xr3:uid="{8CD4E8EE-F37E-44B6-B129-7110A730A7EC}" name="ANTAL" dataDxfId="3127"/>
    <tableColumn id="6" xr3:uid="{AABB8F15-5EC4-4DEC-AC25-0CAA2D39B7A5}" name="GRUPP/LAG/SKOLA/ETC." dataDxfId="3126"/>
  </tableColumns>
  <tableStyleInfo name="Hallbokningsschema 2" showFirstColumn="0" showLastColumn="0" showRowStripes="0" showColumnStripes="0"/>
</table>
</file>

<file path=xl/tables/table2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D2CE5201-DDBD-47B6-8068-D5A1C544AC88}" name="Tabell437445158798693100107114121128142149156163170177184191" displayName="Tabell437445158798693100107114121128142149156163170177184191" ref="A8:F9" totalsRowShown="0" headerRowDxfId="3125" dataDxfId="3124">
  <autoFilter ref="A8:F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E5C4149-8BF3-42A3-87E2-07BBC1CA5610}" name="DAG" dataDxfId="1607">
      <calculatedColumnFormula>PROPER(TEXT(B9, "dddd"))</calculatedColumnFormula>
    </tableColumn>
    <tableColumn id="2" xr3:uid="{16949B94-8C84-486C-A367-060454E647D9}" name="DATUM" dataDxfId="1605">
      <calculatedColumnFormula>Torsdag33</calculatedColumnFormula>
    </tableColumn>
    <tableColumn id="3" xr3:uid="{B768C6EE-D473-4EFA-B75C-1F89AE00A3D9}" name="Tid1" dataDxfId="1606"/>
    <tableColumn id="4" xr3:uid="{FE551F62-DC51-42A5-AB53-036FC37BDA8F}" name="TID" dataDxfId="3123"/>
    <tableColumn id="5" xr3:uid="{F9C1A1A6-97AE-46AA-AB94-E2CAE02D2AED}" name="ANTAL" dataDxfId="3122"/>
    <tableColumn id="6" xr3:uid="{78A7C0CE-4F19-4AA2-8FAB-40142A64AB00}" name="GRUPP/LAG/SKOLA/ETC." dataDxfId="3121"/>
  </tableColumns>
  <tableStyleInfo name="Hallbokningsschema 2" showFirstColumn="0" showLastColumn="0" showRowStripes="0" showColumnStripes="0"/>
</table>
</file>

<file path=xl/tables/table2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DD5B8E53-5D1F-4218-8215-4B8ECEA66C0B}" name="Tabell538455259808794101108115122129143150157164171178185192" displayName="Tabell538455259808794101108115122129143150157164171178185192" ref="A10:F11" totalsRowShown="0" headerRowDxfId="3120" dataDxfId="3119">
  <autoFilter ref="A10:F1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6CFED4F-803F-41DF-B3E6-E62FCE711B6A}" name="DAG" dataDxfId="1604">
      <calculatedColumnFormula>PROPER(TEXT(B11, "dddd"))</calculatedColumnFormula>
    </tableColumn>
    <tableColumn id="2" xr3:uid="{ABE13834-89D6-4A05-B38E-8678D6511C87}" name="DATUM" dataDxfId="1602">
      <calculatedColumnFormula>Fredag33</calculatedColumnFormula>
    </tableColumn>
    <tableColumn id="3" xr3:uid="{7FFB3061-F14D-4251-BAF3-9B36D65ABEAD}" name="Tid1" dataDxfId="1603"/>
    <tableColumn id="4" xr3:uid="{41C7AAA7-A051-4B0D-A3DB-0EA21478DA2C}" name="TID" dataDxfId="3118"/>
    <tableColumn id="5" xr3:uid="{243CD999-5FAA-4057-8C5A-D389D2C9A836}" name="ANTAL" dataDxfId="3117"/>
    <tableColumn id="6" xr3:uid="{823AE4D4-6F9A-4237-B611-2797F9D08E95}" name="GRUPP/LAG/SKOLA/ETC." dataDxfId="3116"/>
  </tableColumns>
  <tableStyleInfo name="Hallbokningsschema 2" showFirstColumn="0" showLastColumn="0" showRowStripes="0" showColumnStripes="0"/>
</table>
</file>

<file path=xl/tables/table2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17ACD4FB-D0D8-4D6C-9595-2745C45BCA4A}" name="Tabell639465360818895102109116123130144151158165172179186193" displayName="Tabell639465360818895102109116123130144151158165172179186193" ref="A12:F13" totalsRowShown="0" headerRowDxfId="3115" dataDxfId="3114">
  <autoFilter ref="A12:F1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295C686-4BB9-4D88-B040-078BF86A7E7E}" name="DAG" dataDxfId="1601">
      <calculatedColumnFormula>PROPER(TEXT(B13, "dddd"))</calculatedColumnFormula>
    </tableColumn>
    <tableColumn id="2" xr3:uid="{4AB0B381-5CE4-4F74-8E95-53DFAA38825A}" name="DATUM" dataDxfId="1599">
      <calculatedColumnFormula>Lördag33</calculatedColumnFormula>
    </tableColumn>
    <tableColumn id="3" xr3:uid="{6DDE5566-03A8-432A-91EB-E5509C99C369}" name="Tid1" dataDxfId="1600"/>
    <tableColumn id="4" xr3:uid="{5CDEB524-C588-4B85-B770-D2833E4E4A5E}" name="TID" dataDxfId="3113"/>
    <tableColumn id="5" xr3:uid="{06B36F3A-9B31-41C7-B7CD-C5CD3937CFE9}" name="ANTAL" dataDxfId="3112"/>
    <tableColumn id="6" xr3:uid="{79D12AD2-CE24-4373-AF13-371930A077E4}" name="GRUPP/LAG/SKOLA/ETC." dataDxfId="3111"/>
  </tableColumns>
  <tableStyleInfo name="Hallbokningsschema 2" showFirstColumn="0" showLastColumn="0" showRowStripes="0" showColumnStripes="0"/>
</table>
</file>

<file path=xl/tables/table2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F867885B-28DF-4C4D-9EFE-F39812256C74}" name="Tabell740475461828996103110117124131145152159166173180187194" displayName="Tabell740475461828996103110117124131145152159166173180187194" ref="A14:F15" totalsRowShown="0" headerRowDxfId="3110" dataDxfId="3109">
  <autoFilter ref="A14:F1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C034600-5B1B-4DD5-9865-15B427B7AAA6}" name="DAG" dataDxfId="1598">
      <calculatedColumnFormula>PROPER(TEXT(B15, "dddd"))</calculatedColumnFormula>
    </tableColumn>
    <tableColumn id="2" xr3:uid="{58C3A434-6679-4674-90F9-DB2F369230B7}" name="DATUM" dataDxfId="1596">
      <calculatedColumnFormula>Söndag33</calculatedColumnFormula>
    </tableColumn>
    <tableColumn id="3" xr3:uid="{060D976C-4AC6-4B79-8307-86F3DA74C222}" name="Tid1" dataDxfId="1597"/>
    <tableColumn id="4" xr3:uid="{47A97656-7F0F-4F1D-A0F9-912F4E30FB51}" name="TID" dataDxfId="3108"/>
    <tableColumn id="5" xr3:uid="{05AF9AEF-6626-463D-B110-9C63DDB9A6B6}" name="ANTAL" dataDxfId="3107"/>
    <tableColumn id="6" xr3:uid="{EF34333F-B532-4D36-9B95-7B49A8A3B9D0}" name="GRUPP/LAG/SKOLA/ETC." dataDxfId="3106"/>
  </tableColumns>
  <tableStyleInfo name="Hallbokningsschema 2" showFirstColumn="0" showLastColumn="0" showRowStripes="0" showColumnStripes="0"/>
</table>
</file>

<file path=xl/tables/table2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A7ABEB99-F209-42C9-804D-A3A236FBB396}" name="Tabell13441485576839097104111118125139146153160167174181" displayName="Tabell13441485576839097104111118125139146153160167174181" ref="A2:F3" totalsRowShown="0" headerRowDxfId="3105" dataDxfId="3104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07F4AD3-D9FD-47C5-A054-B5970CA92887}" name="DAG" dataDxfId="1595">
      <calculatedColumnFormula>PROPER(TEXT(B3, "dddd"))</calculatedColumnFormula>
    </tableColumn>
    <tableColumn id="2" xr3:uid="{ADEFD608-E488-486C-B5F5-BD111F756850}" name="DATUM" dataDxfId="1593">
      <calculatedColumnFormula>Måndag34</calculatedColumnFormula>
    </tableColumn>
    <tableColumn id="3" xr3:uid="{0B60FF1B-5053-46F5-A0B8-43EEB41473D9}" name="Tid1" dataDxfId="1594"/>
    <tableColumn id="4" xr3:uid="{B8AFB1E7-3030-420F-B9EB-202A5DC0676F}" name="TID" dataDxfId="3103"/>
    <tableColumn id="5" xr3:uid="{E3AE73C4-3BDC-467F-AC46-A306D479CEA3}" name="ANTAL" dataDxfId="3102"/>
    <tableColumn id="6" xr3:uid="{A26363B3-91DA-483E-BD63-33C8AFA72374}" name="GRUPP/LAG/SKOLA/ETC." dataDxfId="3101"/>
  </tableColumns>
  <tableStyleInfo name="Hallbokningsschema 2" showFirstColumn="0" showLastColumn="0" showRowStripes="0" showColumnStripes="0"/>
</table>
</file>

<file path=xl/tables/table2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D90F95CE-07AD-41DB-9FDA-AAC60948E66F}" name="Tabell23542495677849198105112119126140147154161168175182" displayName="Tabell23542495677849198105112119126140147154161168175182" ref="A4:F6" totalsRowShown="0" headerRowDxfId="3100" dataDxfId="3099">
  <autoFilter ref="A4:F6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5:F6">
    <sortCondition ref="C5:C6"/>
  </sortState>
  <tableColumns count="6">
    <tableColumn id="1" xr3:uid="{A324A6D4-C539-4D20-88F3-C3A1C2817AF9}" name="DAG" dataDxfId="1592">
      <calculatedColumnFormula>PROPER(TEXT(B5, "dddd"))</calculatedColumnFormula>
    </tableColumn>
    <tableColumn id="2" xr3:uid="{9533CC2F-A5A2-4310-BB67-1F4606788916}" name="DATUM" dataDxfId="1590">
      <calculatedColumnFormula>Tisdag34</calculatedColumnFormula>
    </tableColumn>
    <tableColumn id="3" xr3:uid="{BB254B3F-D803-4B01-99A3-5075C996DD20}" name="Tid1" dataDxfId="1591"/>
    <tableColumn id="4" xr3:uid="{839F7AED-A21E-4575-AA51-7D2EB75DFD99}" name="TID" dataDxfId="3098"/>
    <tableColumn id="5" xr3:uid="{86C1EC34-D84A-4456-8E32-74F245BF3013}" name="ANTAL" dataDxfId="3097"/>
    <tableColumn id="6" xr3:uid="{025B34BD-23DD-43AE-87FA-D2D93448ED80}" name="GRUPP/LAG/SKOLA/ETC." dataDxfId="3096"/>
  </tableColumns>
  <tableStyleInfo name="Hallbokningsschema 2" showFirstColumn="0" showLastColumn="0" showRowStripes="0" showColumnStripes="0"/>
</table>
</file>

<file path=xl/tables/table2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CEE5F51C-F198-4D46-8214-B36FDE767932}" name="Tabell33643505778859299106113120127141148155162169176183" displayName="Tabell33643505778859299106113120127141148155162169176183" ref="A7:F8" totalsRowShown="0" headerRowDxfId="3095" dataDxfId="3094">
  <autoFilter ref="A7:F8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F2217F6-6BFA-4014-B719-2868E6EFF14B}" name="DAG" dataDxfId="1589">
      <calculatedColumnFormula>PROPER(TEXT(B8, "dddd"))</calculatedColumnFormula>
    </tableColumn>
    <tableColumn id="2" xr3:uid="{B34C00CC-4B9F-4F3E-A572-700BC8431BD7}" name="DATUM" dataDxfId="1587">
      <calculatedColumnFormula>Onsdag34</calculatedColumnFormula>
    </tableColumn>
    <tableColumn id="3" xr3:uid="{4D6A3CC9-F3E1-476B-B1DF-B99D1087E141}" name="Tid1" dataDxfId="1588"/>
    <tableColumn id="4" xr3:uid="{CEFD870B-1A72-4EDD-A497-D06C5083F720}" name="TID" dataDxfId="3093"/>
    <tableColumn id="5" xr3:uid="{DDFD729B-C374-458E-83EA-F2622307C5E0}" name="ANTAL" dataDxfId="3092"/>
    <tableColumn id="6" xr3:uid="{28A610E6-57DC-453B-B786-2E193DEBF19C}" name="GRUPP/LAG/SKOLA/ETC." dataDxfId="3091"/>
  </tableColumns>
  <tableStyleInfo name="Hallbokningsschema 2" showFirstColumn="0" showLastColumn="0" showRowStripes="0" showColumnStripes="0"/>
</table>
</file>

<file path=xl/tables/table2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AA214B50-0CBB-476A-B7BB-C49EB6D175BD}" name="Tabell437445158798693100107114121128142149156163170177184" displayName="Tabell437445158798693100107114121128142149156163170177184" ref="A9:F11" totalsRowShown="0" headerRowDxfId="3090" dataDxfId="3089">
  <autoFilter ref="A9:F11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B46AED5-EDF3-4DC8-96C5-78B9DF3039A0}" name="DAG" dataDxfId="1586">
      <calculatedColumnFormula>PROPER(TEXT(B10, "dddd"))</calculatedColumnFormula>
    </tableColumn>
    <tableColumn id="2" xr3:uid="{4C9B9C1A-DEDB-445F-BAE3-291DF9F372C9}" name="DATUM" dataDxfId="1584">
      <calculatedColumnFormula>Torsdag34</calculatedColumnFormula>
    </tableColumn>
    <tableColumn id="3" xr3:uid="{9852BAB9-07C0-43B7-9569-EBA3AF577860}" name="Tid1" dataDxfId="1585"/>
    <tableColumn id="4" xr3:uid="{F8644C22-AE92-4455-8C86-E778B3A557E2}" name="TID" dataDxfId="3088"/>
    <tableColumn id="5" xr3:uid="{A88565D8-DC61-4693-9014-DDEF49A252CB}" name="ANTAL" dataDxfId="3087"/>
    <tableColumn id="6" xr3:uid="{EF9BA9DF-6C52-4A87-8BEE-30F8CC7AF7CF}" name="GRUPP/LAG/SKOLA/ETC." dataDxfId="3086"/>
  </tableColumns>
  <tableStyleInfo name="Hallbokningsschema 2" showFirstColumn="0" showLastColumn="0" showRowStripes="0" showColumnStripes="0"/>
</table>
</file>

<file path=xl/tables/table2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018A5F74-C63A-4466-81A7-25512A7D9783}" name="Tabell538455259808794101108115122129143150157164171178185" displayName="Tabell538455259808794101108115122129143150157164171178185" ref="A12:F14" totalsRowShown="0" headerRowDxfId="3085" dataDxfId="3084">
  <autoFilter ref="A12:F14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65487FE-6095-4D86-9AA8-B1266975F58B}" name="DAG" dataDxfId="1583">
      <calculatedColumnFormula>PROPER(TEXT(B13, "dddd"))</calculatedColumnFormula>
    </tableColumn>
    <tableColumn id="2" xr3:uid="{DE3E5212-A9A4-48E8-8430-01281C07E758}" name="DATUM" dataDxfId="1581">
      <calculatedColumnFormula>Fredag34</calculatedColumnFormula>
    </tableColumn>
    <tableColumn id="3" xr3:uid="{E770A176-9F70-4B11-B860-B3156721D1CF}" name="Tid1" dataDxfId="1582"/>
    <tableColumn id="4" xr3:uid="{9221F45A-00D5-4763-B155-BFFBBCC1D88F}" name="TID" dataDxfId="3083"/>
    <tableColumn id="5" xr3:uid="{00561444-90A6-43C1-9764-EB91BFA80E49}" name="ANTAL" dataDxfId="3082"/>
    <tableColumn id="6" xr3:uid="{74558F73-5459-4346-9F6F-E7BB24F327ED}" name="GRUPP/LAG/SKOLA/ETC." dataDxfId="3081"/>
  </tableColumns>
  <tableStyleInfo name="Hallbokningsschema 2" showFirstColumn="0" showLastColumn="0" showRowStripes="0" showColumnStripes="0"/>
</table>
</file>

<file path=xl/tables/table2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3CC3D4D2-5B32-416B-88AE-58BE58E95D7F}" name="Tabell639465360818895102109116123130144151158165172179186" displayName="Tabell639465360818895102109116123130144151158165172179186" ref="A15:F16" totalsRowShown="0" headerRowDxfId="3080" dataDxfId="3079">
  <autoFilter ref="A15:F16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690F417-AFB5-4A95-AC11-B7BB863ABEBB}" name="DAG" dataDxfId="1580">
      <calculatedColumnFormula>PROPER(TEXT(B16, "dddd"))</calculatedColumnFormula>
    </tableColumn>
    <tableColumn id="2" xr3:uid="{5D566CB7-F9B9-4326-9EFA-C41F4CE9776F}" name="DATUM" dataDxfId="1578">
      <calculatedColumnFormula>Lördag34</calculatedColumnFormula>
    </tableColumn>
    <tableColumn id="3" xr3:uid="{A9ED9F74-038C-49DC-A0DB-AF92857BD96C}" name="Tid1" dataDxfId="1579"/>
    <tableColumn id="4" xr3:uid="{1BE2267E-8C62-41A8-ABE9-B565F232E1F2}" name="TID" dataDxfId="3078"/>
    <tableColumn id="5" xr3:uid="{74DDBB60-6FF1-4825-9C8C-1AA09F01342A}" name="ANTAL" dataDxfId="3077"/>
    <tableColumn id="6" xr3:uid="{8DD2B7B3-2666-4108-AB66-3A20E29C360D}" name="GRUPP/LAG/SKOLA/ETC." dataDxfId="3076"/>
  </tableColumns>
  <tableStyleInfo name="Hallbokningsschema 2" showFirstColumn="0" showLastColumn="0" showRowStripes="0" showColumnStripes="0"/>
</table>
</file>

<file path=xl/tables/table2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0AFB1C2D-B346-4264-A00B-0EEDD4854BBB}" name="Tabell740475461828996103110117124131145152159166173180187" displayName="Tabell740475461828996103110117124131145152159166173180187" ref="A17:F18" totalsRowShown="0" headerRowDxfId="3075" dataDxfId="3074">
  <autoFilter ref="A17:F18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1FEE702-2670-4F6B-9AFE-4DF1DC5563CF}" name="DAG" dataDxfId="1577">
      <calculatedColumnFormula>PROPER(TEXT(B18, "dddd"))</calculatedColumnFormula>
    </tableColumn>
    <tableColumn id="2" xr3:uid="{E2B2D410-8864-4A3B-82B1-4EA0DCFF85F5}" name="DATUM" dataDxfId="1575">
      <calculatedColumnFormula>Söndag34</calculatedColumnFormula>
    </tableColumn>
    <tableColumn id="3" xr3:uid="{9AA454CE-40F9-454F-A7C7-5F4BF547D3F6}" name="Tid1" dataDxfId="1576"/>
    <tableColumn id="4" xr3:uid="{6B7B4484-6E43-43BA-814D-F4CA297B4C35}" name="TID" dataDxfId="3073"/>
    <tableColumn id="5" xr3:uid="{5367100B-EE32-47CE-8555-6E38495C6768}" name="ANTAL" dataDxfId="3072"/>
    <tableColumn id="6" xr3:uid="{F8A272DD-2025-4D0D-97C1-386E0DDE3D13}" name="GRUPP/LAG/SKOLA/ETC." dataDxfId="3071"/>
  </tableColumns>
  <tableStyleInfo name="Hallbokningsschema 2" showFirstColumn="0" showLastColumn="0" showRowStripes="0" showColumnStripes="0"/>
</table>
</file>

<file path=xl/tables/table2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64CF6C8A-9A63-484A-9A4A-E1A3E7E56D39}" name="Tabell13441485576839097104111118125139146153160167174" displayName="Tabell13441485576839097104111118125139146153160167174" ref="A2:F3" totalsRowShown="0" headerRowDxfId="3070" dataDxfId="3069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8C46623-BB0D-490D-90C5-77547539B1D3}" name="DAG" dataDxfId="1574">
      <calculatedColumnFormula>PROPER(TEXT(B3, "dddd"))</calculatedColumnFormula>
    </tableColumn>
    <tableColumn id="2" xr3:uid="{DC6580DD-B79A-44F5-8594-7B4B9C83F2FA}" name="DATUM" dataDxfId="1572">
      <calculatedColumnFormula>Måndag35</calculatedColumnFormula>
    </tableColumn>
    <tableColumn id="3" xr3:uid="{2D0274C8-CBC4-40FA-9D0E-7EB782185501}" name="Tid1" dataDxfId="1573"/>
    <tableColumn id="4" xr3:uid="{C8FF4E19-44FB-4EA0-8F5E-641FA4D1947D}" name="TID" dataDxfId="3068"/>
    <tableColumn id="5" xr3:uid="{DD9FA3C0-78A8-4208-A7D8-489C0C8F84C5}" name="ANTAL" dataDxfId="3067"/>
    <tableColumn id="6" xr3:uid="{EFEE8D11-295A-4A07-8DCC-6E5D3880A348}" name="GRUPP/LAG/SKOLA/ETC." dataDxfId="3066"/>
  </tableColumns>
  <tableStyleInfo name="Hallbokningsschema 2" showFirstColumn="0" showLastColumn="0" showRowStripes="0" showColumnStripes="0"/>
</table>
</file>

<file path=xl/tables/table2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9EBC9AB6-8066-4546-96E7-135058B795BA}" name="Tabell23542495677849198105112119126140147154161168175" displayName="Tabell23542495677849198105112119126140147154161168175" ref="A4:F5" totalsRowShown="0" headerRowDxfId="3065" dataDxfId="3064">
  <autoFilter ref="A4:F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5:F5">
    <sortCondition ref="C5"/>
  </sortState>
  <tableColumns count="6">
    <tableColumn id="1" xr3:uid="{285B71C4-334E-4024-9B48-E3C50E6FB9EA}" name="DAG" dataDxfId="1571">
      <calculatedColumnFormula>PROPER(TEXT(B5, "dddd"))</calculatedColumnFormula>
    </tableColumn>
    <tableColumn id="2" xr3:uid="{62FF8410-D46B-4F67-962A-675AF473F9CC}" name="DATUM" dataDxfId="1569">
      <calculatedColumnFormula>Tisdag35</calculatedColumnFormula>
    </tableColumn>
    <tableColumn id="3" xr3:uid="{4A75BAC6-B58E-45B8-89A3-3092D204305C}" name="Tid1" dataDxfId="1570"/>
    <tableColumn id="4" xr3:uid="{3526B9E5-BFEC-4390-AEC5-11C95E5C9231}" name="TID" dataDxfId="3063"/>
    <tableColumn id="5" xr3:uid="{19E1C9E0-6238-4811-A1F9-3292C921636C}" name="ANTAL" dataDxfId="3062"/>
    <tableColumn id="6" xr3:uid="{D2CB64D5-7B0F-434E-A3AA-3C279B3F4438}" name="GRUPP/LAG/SKOLA/ETC." dataDxfId="3061"/>
  </tableColumns>
  <tableStyleInfo name="Hallbokningsschema 2" showFirstColumn="0" showLastColumn="0" showRowStripes="0" showColumnStripes="0"/>
</table>
</file>

<file path=xl/tables/table2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6FC863CF-1C54-440D-81F4-D8C7E0A89238}" name="Tabell33643505778859299106113120127141148155162169176" displayName="Tabell33643505778859299106113120127141148155162169176" ref="A6:F7" totalsRowShown="0" headerRowDxfId="3060" dataDxfId="3059">
  <autoFilter ref="A6:F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BE4D31A-543F-4438-8AA5-26EF2F2D6BDC}" name="DAG" dataDxfId="1568">
      <calculatedColumnFormula>PROPER(TEXT(B7, "dddd"))</calculatedColumnFormula>
    </tableColumn>
    <tableColumn id="2" xr3:uid="{EDC4BF3A-7126-43A1-9B2E-384FD2427AFE}" name="DATUM" dataDxfId="1566">
      <calculatedColumnFormula>Onsdag35</calculatedColumnFormula>
    </tableColumn>
    <tableColumn id="3" xr3:uid="{21BAEEC8-AA19-487E-9E7E-1F781B3C67BF}" name="Tid1" dataDxfId="1567"/>
    <tableColumn id="4" xr3:uid="{867C1AF4-54A6-4817-B660-7C56E71757EE}" name="TID" dataDxfId="3058"/>
    <tableColumn id="5" xr3:uid="{2695A2F8-F6CA-43DF-9DE2-EA2775D4FF1D}" name="ANTAL" dataDxfId="3057"/>
    <tableColumn id="6" xr3:uid="{971BFA6B-49F7-4A4D-9268-211A5D188CA4}" name="GRUPP/LAG/SKOLA/ETC." dataDxfId="3056"/>
  </tableColumns>
  <tableStyleInfo name="Hallbokningsschema 2" showFirstColumn="0" showLastColumn="0" showRowStripes="0" showColumnStripes="0"/>
</table>
</file>

<file path=xl/tables/table2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B80062C9-2F60-40EC-B46F-9C13E80E794D}" name="Tabell437445158798693100107114121128142149156163170177" displayName="Tabell437445158798693100107114121128142149156163170177" ref="A8:F9" totalsRowShown="0" headerRowDxfId="3055" dataDxfId="3054">
  <autoFilter ref="A8:F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D995B72-26A5-4F26-A862-AD9AC75831BA}" name="DAG" dataDxfId="1565">
      <calculatedColumnFormula>PROPER(TEXT(B9, "dddd"))</calculatedColumnFormula>
    </tableColumn>
    <tableColumn id="2" xr3:uid="{FDE69DB8-822F-4A82-AB8E-692EC94B67C0}" name="DATUM" dataDxfId="1563">
      <calculatedColumnFormula>Torsdag35</calculatedColumnFormula>
    </tableColumn>
    <tableColumn id="3" xr3:uid="{5F6B1F2F-F601-4A33-B6A0-53F70D3DB516}" name="Tid1" dataDxfId="1564"/>
    <tableColumn id="4" xr3:uid="{9B92C6E6-F8B3-48FB-BBF9-4FA0F3CF1E5C}" name="TID" dataDxfId="3053"/>
    <tableColumn id="5" xr3:uid="{F5FBDAC5-A6A5-4930-B568-01F428EFDD9B}" name="ANTAL" dataDxfId="3052"/>
    <tableColumn id="6" xr3:uid="{3D3A1E9E-2437-48C0-8F87-E33ADB7C54F1}" name="GRUPP/LAG/SKOLA/ETC." dataDxfId="3051"/>
  </tableColumns>
  <tableStyleInfo name="Hallbokningsschema 2" showFirstColumn="0" showLastColumn="0" showRowStripes="0" showColumnStripes="0"/>
</table>
</file>

<file path=xl/tables/table2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7DF2D57A-1FFF-4579-939C-670C9D3614DC}" name="Tabell538455259808794101108115122129143150157164171178" displayName="Tabell538455259808794101108115122129143150157164171178" ref="A10:F12" totalsRowShown="0" headerRowDxfId="3050" dataDxfId="3049">
  <autoFilter ref="A10:F12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4CB41EE-3502-42AC-95EC-C9C0967779CF}" name="DAG" dataDxfId="1562">
      <calculatedColumnFormula>PROPER(TEXT(B11, "dddd"))</calculatedColumnFormula>
    </tableColumn>
    <tableColumn id="2" xr3:uid="{A8612FA0-9973-4C36-B1F7-341F93618E03}" name="DATUM" dataDxfId="1560">
      <calculatedColumnFormula>Fredag35</calculatedColumnFormula>
    </tableColumn>
    <tableColumn id="3" xr3:uid="{444C8CBB-D649-4A98-B068-9573E6E996F9}" name="Tid1" dataDxfId="1561"/>
    <tableColumn id="4" xr3:uid="{CD3D4960-00C8-41CA-8854-85BD6C5898EA}" name="TID" dataDxfId="3048"/>
    <tableColumn id="5" xr3:uid="{E94109E8-508E-4AC5-9488-9E6718EC3E75}" name="ANTAL" dataDxfId="3047"/>
    <tableColumn id="6" xr3:uid="{1D9DFB3E-AC24-4378-B403-A774FAF82F90}" name="GRUPP/LAG/SKOLA/ETC." dataDxfId="3046"/>
  </tableColumns>
  <tableStyleInfo name="Hallbokningsschema 2" showFirstColumn="0" showLastColumn="0" showRowStripes="0" showColumnStripes="0"/>
</table>
</file>

<file path=xl/tables/table2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309AF97A-EA0D-499A-B17B-D8F0AE4341B3}" name="Tabell639465360818895102109116123130144151158165172179" displayName="Tabell639465360818895102109116123130144151158165172179" ref="A13:F15" totalsRowShown="0" headerRowDxfId="3045" dataDxfId="3044">
  <autoFilter ref="A13:F15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4:F15">
    <sortCondition ref="C14:C15"/>
  </sortState>
  <tableColumns count="6">
    <tableColumn id="1" xr3:uid="{7DF8804A-DBB8-40E4-8B29-6BD96B4C1F4B}" name="DAG" dataDxfId="1559">
      <calculatedColumnFormula>PROPER(TEXT(B14, "dddd"))</calculatedColumnFormula>
    </tableColumn>
    <tableColumn id="2" xr3:uid="{64AD0905-1C80-49F7-A858-C52B0A5F679D}" name="DATUM" dataDxfId="1557">
      <calculatedColumnFormula>Lördag35</calculatedColumnFormula>
    </tableColumn>
    <tableColumn id="3" xr3:uid="{01C7D538-D139-4AED-8559-EFC09F87AB50}" name="Tid1" dataDxfId="1558"/>
    <tableColumn id="4" xr3:uid="{D8CEFAAC-712E-4B2F-A617-1A6D3AA31F86}" name="TID" dataDxfId="3043"/>
    <tableColumn id="5" xr3:uid="{DC683504-B941-494E-82D3-695099184524}" name="ANTAL" dataDxfId="3042"/>
    <tableColumn id="6" xr3:uid="{16422A7D-6277-44E9-B6F0-6547FB800060}" name="GRUPP/LAG/SKOLA/ETC." dataDxfId="3041"/>
  </tableColumns>
  <tableStyleInfo name="Hallbokningsschema 2" showFirstColumn="0" showLastColumn="0" showRowStripes="0" showColumnStripes="0"/>
</table>
</file>

<file path=xl/tables/table2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1291BF5C-3F46-47C3-AE7C-E3BA18647D4B}" name="Tabell740475461828996103110117124131145152159166173180" displayName="Tabell740475461828996103110117124131145152159166173180" ref="A16:F17" totalsRowShown="0" headerRowDxfId="3040" dataDxfId="3039">
  <autoFilter ref="A16:F17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953438C-D404-42F8-88A5-63949E35E59C}" name="DAG" dataDxfId="1556">
      <calculatedColumnFormula>PROPER(TEXT(B17, "dddd"))</calculatedColumnFormula>
    </tableColumn>
    <tableColumn id="2" xr3:uid="{949DF8EC-602C-47AE-8A3F-021B69A840BB}" name="DATUM" dataDxfId="1554">
      <calculatedColumnFormula>Söndag35</calculatedColumnFormula>
    </tableColumn>
    <tableColumn id="3" xr3:uid="{C906BC5B-1E6B-4113-B279-BA9851D0670C}" name="Tid1" dataDxfId="1555"/>
    <tableColumn id="4" xr3:uid="{37BF216C-D422-4B65-ADEF-F74A5A8F843B}" name="TID" dataDxfId="3038"/>
    <tableColumn id="5" xr3:uid="{9A596DCD-F98E-47D9-8277-0AED9F2C11EE}" name="ANTAL" dataDxfId="3037"/>
    <tableColumn id="6" xr3:uid="{C2C4EF57-E47F-4F64-A3E5-4C5D0A66358C}" name="GRUPP/LAG/SKOLA/ETC." dataDxfId="3036"/>
  </tableColumns>
  <tableStyleInfo name="Hallbokningsschema 2" showFirstColumn="0" showLastColumn="0" showRowStripes="0" showColumnStripes="0"/>
</table>
</file>

<file path=xl/tables/table2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ECEBEC04-A8F5-4CD4-A8B5-95B3757D1670}" name="Tabell13441485576839097104111118125139146153160167" displayName="Tabell13441485576839097104111118125139146153160167" ref="A2:F3" totalsRowShown="0" headerRowDxfId="3035" dataDxfId="3034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CFDEB30-03F7-4777-88B3-F16B7B3E66A8}" name="DAG" dataDxfId="1553">
      <calculatedColumnFormula>PROPER(TEXT(B3, "dddd"))</calculatedColumnFormula>
    </tableColumn>
    <tableColumn id="2" xr3:uid="{C2B10C74-BCD7-4EB4-9A81-081381FEC208}" name="DATUM" dataDxfId="1551">
      <calculatedColumnFormula>Måndag36</calculatedColumnFormula>
    </tableColumn>
    <tableColumn id="3" xr3:uid="{3D1268E3-9518-4D74-AECD-8CB51557B6FA}" name="Tid1" dataDxfId="1552"/>
    <tableColumn id="4" xr3:uid="{A7DE9A0A-0D18-4857-930C-C362FCEEEB20}" name="TID" dataDxfId="3033"/>
    <tableColumn id="5" xr3:uid="{792C85E7-5DBD-45AC-A654-3C68467088BF}" name="ANTAL" dataDxfId="3032"/>
    <tableColumn id="6" xr3:uid="{38BBD6BB-067E-4E0C-AB5D-F8DD465F2134}" name="GRUPP/LAG/SKOLA/ETC." dataDxfId="3031"/>
  </tableColumns>
  <tableStyleInfo name="Hallbokningsschema 2" showFirstColumn="0" showLastColumn="0" showRowStripes="0" showColumnStripes="0"/>
</table>
</file>

<file path=xl/tables/table2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CF1C47CB-C09C-4308-B519-F6995981DFC1}" name="Tabell23542495677849198105112119126140147154161168" displayName="Tabell23542495677849198105112119126140147154161168" ref="A4:F8" totalsRowShown="0" headerRowDxfId="3030" dataDxfId="3029">
  <autoFilter ref="A4:F8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5:F8">
    <sortCondition ref="C5:C8"/>
  </sortState>
  <tableColumns count="6">
    <tableColumn id="1" xr3:uid="{B881C734-78B2-405F-B8C8-CA3C9AD37F60}" name="DAG" dataDxfId="1550">
      <calculatedColumnFormula>PROPER(TEXT(B5, "dddd"))</calculatedColumnFormula>
    </tableColumn>
    <tableColumn id="2" xr3:uid="{28CF5F45-919D-4FF3-8A2B-18722AB8BF62}" name="DATUM" dataDxfId="1548">
      <calculatedColumnFormula>Tisdag36</calculatedColumnFormula>
    </tableColumn>
    <tableColumn id="3" xr3:uid="{9C2EA63D-8C80-4F79-82B6-DA6F55A04F50}" name="Tid1" dataDxfId="1549"/>
    <tableColumn id="4" xr3:uid="{FDF2320A-BBDB-4573-85B0-26A8A36C37A5}" name="TID" dataDxfId="3028"/>
    <tableColumn id="5" xr3:uid="{A6590CA0-2D1D-4A9C-801B-FD12828B9551}" name="ANTAL" dataDxfId="3027"/>
    <tableColumn id="6" xr3:uid="{81D4255A-368C-4FC5-8C33-959BB7CA6525}" name="GRUPP/LAG/SKOLA/ETC." dataDxfId="3026"/>
  </tableColumns>
  <tableStyleInfo name="Hallbokningsschema 2" showFirstColumn="0" showLastColumn="0" showRowStripes="0" showColumnStripes="0"/>
</table>
</file>

<file path=xl/tables/table2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DC1A989A-B0D6-4036-964F-70308ED3F216}" name="Tabell33643505778859299106113120127141148155162169" displayName="Tabell33643505778859299106113120127141148155162169" ref="A9:F12" totalsRowShown="0" headerRowDxfId="3025" dataDxfId="3024">
  <autoFilter ref="A9:F12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0:F12">
    <sortCondition ref="C10:C12"/>
  </sortState>
  <tableColumns count="6">
    <tableColumn id="1" xr3:uid="{918174D4-816B-4F98-A34C-B2F61E224852}" name="DAG" dataDxfId="1547">
      <calculatedColumnFormula>PROPER(TEXT(B10, "dddd"))</calculatedColumnFormula>
    </tableColumn>
    <tableColumn id="2" xr3:uid="{D82E61C1-E5CA-429F-9887-970ADFED8A78}" name="DATUM" dataDxfId="1545">
      <calculatedColumnFormula>Onsdag36</calculatedColumnFormula>
    </tableColumn>
    <tableColumn id="3" xr3:uid="{A527E35E-5CDD-4395-A1F7-E9820E63B300}" name="Tid1" dataDxfId="1546"/>
    <tableColumn id="4" xr3:uid="{7EF8D28F-EAE9-49E3-BC2B-2CB91E12FABC}" name="TID" dataDxfId="3023"/>
    <tableColumn id="5" xr3:uid="{F9A73973-BEBC-4943-8D63-A5C263EACB05}" name="ANTAL" dataDxfId="3022"/>
    <tableColumn id="6" xr3:uid="{B33AAB6F-AB28-4A47-BD09-3DDF04365A2B}" name="GRUPP/LAG/SKOLA/ETC." dataDxfId="3021"/>
  </tableColumns>
  <tableStyleInfo name="Hallbokningsschema 2" showFirstColumn="0" showLastColumn="0" showRowStripes="0" showColumnStripes="0"/>
</table>
</file>

<file path=xl/tables/table2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90B68885-71F4-4625-821A-D13EBC0368D2}" name="Tabell437445158798693100107114121128142149156163170" displayName="Tabell437445158798693100107114121128142149156163170" ref="A13:F16" totalsRowShown="0" headerRowDxfId="3020" dataDxfId="3019">
  <autoFilter ref="A13:F16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4:F16">
    <sortCondition ref="C14:C16"/>
  </sortState>
  <tableColumns count="6">
    <tableColumn id="1" xr3:uid="{ACF47C3F-8E37-4073-BCC6-2A69206F91A5}" name="DAG" dataDxfId="1544">
      <calculatedColumnFormula>PROPER(TEXT(B14, "dddd"))</calculatedColumnFormula>
    </tableColumn>
    <tableColumn id="2" xr3:uid="{387BADD9-9968-4670-92F5-C4D5BC68B2AB}" name="DATUM" dataDxfId="1542">
      <calculatedColumnFormula>Torsdag36</calculatedColumnFormula>
    </tableColumn>
    <tableColumn id="3" xr3:uid="{64063432-BD6F-4163-9E5C-2A1F0BA09AD0}" name="Tid1" dataDxfId="1543"/>
    <tableColumn id="4" xr3:uid="{C49BAACC-E067-4D51-A53A-737541936C1A}" name="TID" dataDxfId="3018"/>
    <tableColumn id="5" xr3:uid="{4AD528E4-16A6-4BB4-B152-98A3610734C0}" name="ANTAL" dataDxfId="3017"/>
    <tableColumn id="6" xr3:uid="{57FCE687-D298-443D-817F-054A2130C458}" name="GRUPP/LAG/SKOLA/ETC." dataDxfId="3016"/>
  </tableColumns>
  <tableStyleInfo name="Hallbokningsschema 2" showFirstColumn="0" showLastColumn="0" showRowStripes="0" showColumnStripes="0"/>
</table>
</file>

<file path=xl/tables/table2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8EC2501D-5A63-46F7-8AAE-990EF21568ED}" name="Tabell538455259808794101108115122129143150157164171" displayName="Tabell538455259808794101108115122129143150157164171" ref="A17:F19" totalsRowShown="0" headerRowDxfId="3015" dataDxfId="3014">
  <autoFilter ref="A17:F19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149D831-453A-40BB-93F2-16CF8432F78B}" name="DAG" dataDxfId="1541">
      <calculatedColumnFormula>PROPER(TEXT(B18, "dddd"))</calculatedColumnFormula>
    </tableColumn>
    <tableColumn id="2" xr3:uid="{E41C8BDB-E136-4106-AEE8-C99BB4437736}" name="DATUM" dataDxfId="1539">
      <calculatedColumnFormula>Fredag36</calculatedColumnFormula>
    </tableColumn>
    <tableColumn id="3" xr3:uid="{D595F8B1-75D0-4DF0-BE23-1EEA0D8238B3}" name="Tid1" dataDxfId="1540"/>
    <tableColumn id="4" xr3:uid="{1C4C9983-8C65-4F7B-98AF-5AF42E34E0A6}" name="TID" dataDxfId="3013"/>
    <tableColumn id="5" xr3:uid="{FE68E0F5-7362-4197-A257-652B98A0AAC8}" name="ANTAL" dataDxfId="3012"/>
    <tableColumn id="6" xr3:uid="{D80C8E1E-CD6C-4162-87F1-05D1E43B20D6}" name="GRUPP/LAG/SKOLA/ETC." dataDxfId="3011"/>
  </tableColumns>
  <tableStyleInfo name="Hallbokningsschema 2" showFirstColumn="0" showLastColumn="0" showRowStripes="0" showColumnStripes="0"/>
</table>
</file>

<file path=xl/tables/table2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B37D26F8-9DDA-407A-ABE0-EF40A83DCD10}" name="Tabell639465360818895102109116123130144151158165172" displayName="Tabell639465360818895102109116123130144151158165172" ref="A20:F21" totalsRowShown="0" headerRowDxfId="3010" dataDxfId="3009">
  <autoFilter ref="A20:F21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1:F21">
    <sortCondition ref="C21"/>
  </sortState>
  <tableColumns count="6">
    <tableColumn id="1" xr3:uid="{A47F2323-3F29-4712-AD2F-A0361AE452D6}" name="DAG" dataDxfId="1538">
      <calculatedColumnFormula>PROPER(TEXT(B21, "dddd"))</calculatedColumnFormula>
    </tableColumn>
    <tableColumn id="2" xr3:uid="{BA278C07-BB6C-4947-A6C8-F064B25A2D39}" name="DATUM" dataDxfId="1536">
      <calculatedColumnFormula>Lördag36</calculatedColumnFormula>
    </tableColumn>
    <tableColumn id="3" xr3:uid="{BC6977D4-B322-4276-A83E-FEAA801ECD63}" name="Tid1" dataDxfId="1537"/>
    <tableColumn id="4" xr3:uid="{C0B7A70C-C37A-47B1-8673-E63E29297282}" name="TID" dataDxfId="3008"/>
    <tableColumn id="5" xr3:uid="{7E8F685D-69E1-4025-AA81-1A89ECD63962}" name="ANTAL" dataDxfId="3007"/>
    <tableColumn id="6" xr3:uid="{59D47422-3A2C-4C14-BE6C-D75A7C682C6D}" name="GRUPP/LAG/SKOLA/ETC." dataDxfId="3006"/>
  </tableColumns>
  <tableStyleInfo name="Hallbokningsschema 2" showFirstColumn="0" showLastColumn="0" showRowStripes="0" showColumnStripes="0"/>
</table>
</file>

<file path=xl/tables/table2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F039E769-AFBA-4475-B2F8-BB74AC09E842}" name="Tabell740475461828996103110117124131145152159166173" displayName="Tabell740475461828996103110117124131145152159166173" ref="A22:F23" totalsRowShown="0" headerRowDxfId="3005" dataDxfId="3004">
  <autoFilter ref="A22:F23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08370AE-0749-4E90-BBF8-E2C129790CE3}" name="DAG" dataDxfId="1535">
      <calculatedColumnFormula>PROPER(TEXT(B23, "dddd"))</calculatedColumnFormula>
    </tableColumn>
    <tableColumn id="2" xr3:uid="{463E9A1C-3A8D-4C85-BEE4-8A9DEEC23862}" name="DATUM" dataDxfId="1533">
      <calculatedColumnFormula>Söndag36</calculatedColumnFormula>
    </tableColumn>
    <tableColumn id="3" xr3:uid="{0B5EE853-618E-4BCF-BF24-144C5CBF392E}" name="Tid1" dataDxfId="1534"/>
    <tableColumn id="4" xr3:uid="{5D440118-5C3B-4439-AD99-7DC72DE4FDB1}" name="TID" dataDxfId="3003"/>
    <tableColumn id="5" xr3:uid="{65D509D5-9E6E-4E96-86C5-DD40C130BF72}" name="ANTAL" dataDxfId="3002"/>
    <tableColumn id="6" xr3:uid="{DEB4A04F-68A2-4096-B145-98A1B8AA3E9D}" name="GRUPP/LAG/SKOLA/ETC." dataDxfId="3001"/>
  </tableColumns>
  <tableStyleInfo name="Hallbokningsschema 2" showFirstColumn="0" showLastColumn="0" showRowStripes="0" showColumnStripes="0"/>
</table>
</file>

<file path=xl/tables/table2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3FD74695-D1B7-4F33-A2B5-DC846655206F}" name="Tabell13441485576839097104111118125139146153160" displayName="Tabell13441485576839097104111118125139146153160" ref="A2:F3" totalsRowShown="0" headerRowDxfId="3000" dataDxfId="2999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3D33C32-83AA-4852-A4BC-EB8BA922C7D3}" name="DAG" dataDxfId="1532">
      <calculatedColumnFormula>PROPER(TEXT(B3, "dddd"))</calculatedColumnFormula>
    </tableColumn>
    <tableColumn id="2" xr3:uid="{D7CC5596-652C-4122-B60C-CDC13A08C45E}" name="DATUM" dataDxfId="1530">
      <calculatedColumnFormula>Måndag37</calculatedColumnFormula>
    </tableColumn>
    <tableColumn id="3" xr3:uid="{1B3407AF-81E7-4D93-804C-EECFFAB6ED7E}" name="Tid1" dataDxfId="1531"/>
    <tableColumn id="4" xr3:uid="{A3C41BA3-BD6C-4575-98C8-1E6081DFD3FE}" name="TID" dataDxfId="2998"/>
    <tableColumn id="5" xr3:uid="{273943EF-3EA9-4ED3-BEB6-60BB9EBC45C0}" name="ANTAL" dataDxfId="2997"/>
    <tableColumn id="6" xr3:uid="{141FB9AF-2BB6-452F-8D2D-F35DA1190CD1}" name="GRUPP/LAG/SKOLA/ETC." dataDxfId="2996"/>
  </tableColumns>
  <tableStyleInfo name="Hallbokningsschema 2" showFirstColumn="0" showLastColumn="0" showRowStripes="0" showColumnStripes="0"/>
</table>
</file>

<file path=xl/tables/table2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6562C1DB-293A-491D-8C61-A7DE018232A8}" name="Tabell23542495677849198105112119126140147154161" displayName="Tabell23542495677849198105112119126140147154161" ref="A4:F6" totalsRowShown="0" headerRowDxfId="2995" dataDxfId="2994">
  <autoFilter ref="A4:F6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5:F6">
    <sortCondition ref="C5:C6"/>
  </sortState>
  <tableColumns count="6">
    <tableColumn id="1" xr3:uid="{DD78FCC3-69FA-49C3-87B3-A0952E0EB462}" name="DAG" dataDxfId="1529">
      <calculatedColumnFormula>PROPER(TEXT(B5, "dddd"))</calculatedColumnFormula>
    </tableColumn>
    <tableColumn id="2" xr3:uid="{FEA670F7-239E-4FFD-88C0-57E353358AA4}" name="DATUM" dataDxfId="1527">
      <calculatedColumnFormula>Tisdag37</calculatedColumnFormula>
    </tableColumn>
    <tableColumn id="3" xr3:uid="{84104AFC-787B-4EC3-B0EF-3DAF98E665E1}" name="Tid1" dataDxfId="1528"/>
    <tableColumn id="4" xr3:uid="{D5303001-7259-49E6-B1DF-C75DDB4D2D05}" name="TID" dataDxfId="2993"/>
    <tableColumn id="5" xr3:uid="{B4C2967B-5CF5-4C61-9A85-9A17A7C9E9B0}" name="ANTAL" dataDxfId="2992"/>
    <tableColumn id="6" xr3:uid="{7177194B-E946-4DAA-AC24-1F40E453E486}" name="GRUPP/LAG/SKOLA/ETC." dataDxfId="2991"/>
  </tableColumns>
  <tableStyleInfo name="Hallbokningsschema 2" showFirstColumn="0" showLastColumn="0" showRowStripes="0" showColumnStripes="0"/>
</table>
</file>

<file path=xl/tables/table2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756617F9-3228-48E3-9F1C-8E2D9BB997F0}" name="Tabell33643505778859299106113120127141148155162" displayName="Tabell33643505778859299106113120127141148155162" ref="A7:F12" totalsRowShown="0" headerRowDxfId="2990" dataDxfId="2989">
  <autoFilter ref="A7:F12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8:F12">
    <sortCondition ref="C8:C12"/>
  </sortState>
  <tableColumns count="6">
    <tableColumn id="1" xr3:uid="{406E7938-D4CF-4E42-8BC9-84AF2DB2827E}" name="DAG" dataDxfId="1526">
      <calculatedColumnFormula>PROPER(TEXT(B8, "dddd"))</calculatedColumnFormula>
    </tableColumn>
    <tableColumn id="2" xr3:uid="{593D2618-D69C-491F-BCA6-A856259AC02D}" name="DATUM" dataDxfId="1524">
      <calculatedColumnFormula>Onsdag37</calculatedColumnFormula>
    </tableColumn>
    <tableColumn id="3" xr3:uid="{E75E23B1-0CA5-4F94-BF79-E5A55165A599}" name="Tid1" dataDxfId="1525"/>
    <tableColumn id="4" xr3:uid="{AEAA6E01-05C4-4E5F-BC77-377FDDF95FB3}" name="TID" dataDxfId="2988"/>
    <tableColumn id="5" xr3:uid="{FD1375E3-34B8-4876-A3E8-94B9C0CBCA2C}" name="ANTAL" dataDxfId="2987"/>
    <tableColumn id="6" xr3:uid="{77416962-9E12-4430-A2BB-5B37D4CD66A5}" name="GRUPP/LAG/SKOLA/ETC." dataDxfId="2986"/>
  </tableColumns>
  <tableStyleInfo name="Hallbokningsschema 2" showFirstColumn="0" showLastColumn="0" showRowStripes="0" showColumnStripes="0"/>
</table>
</file>

<file path=xl/tables/table2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EEBE6CAC-A46B-47D2-BE22-4C11E29A61A8}" name="Tabell437445158798693100107114121128142149156163" displayName="Tabell437445158798693100107114121128142149156163" ref="A13:F17" totalsRowShown="0" headerRowDxfId="2985" dataDxfId="2984">
  <autoFilter ref="A13:F17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4:F17">
    <sortCondition ref="C14:C17"/>
  </sortState>
  <tableColumns count="6">
    <tableColumn id="1" xr3:uid="{A7D81D09-26F3-4F33-830E-04040181A393}" name="DAG" dataDxfId="1523">
      <calculatedColumnFormula>PROPER(TEXT(B14, "dddd"))</calculatedColumnFormula>
    </tableColumn>
    <tableColumn id="2" xr3:uid="{2744A5E3-2DB3-4668-B268-7088BFF4DA5B}" name="DATUM" dataDxfId="1521">
      <calculatedColumnFormula>Torsdag37</calculatedColumnFormula>
    </tableColumn>
    <tableColumn id="3" xr3:uid="{0158E41A-B5EA-446C-A934-BFE8EF4EDF7E}" name="Tid1" dataDxfId="1522"/>
    <tableColumn id="4" xr3:uid="{8CA370B3-2582-4D36-9953-D79ADCA72925}" name="TID" dataDxfId="2983"/>
    <tableColumn id="5" xr3:uid="{670E10FA-6100-47E9-98C1-C914FD54422D}" name="ANTAL" dataDxfId="2982"/>
    <tableColumn id="6" xr3:uid="{5752560A-7781-4D8B-8DB7-F59AD0D48A1E}" name="GRUPP/LAG/SKOLA/ETC." dataDxfId="2981"/>
  </tableColumns>
  <tableStyleInfo name="Hallbokningsschema 2" showFirstColumn="0" showLastColumn="0" showRowStripes="0" showColumnStripes="0"/>
</table>
</file>

<file path=xl/tables/table2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4F326928-4D38-4396-A72F-214DD20D2BF0}" name="Tabell538455259808794101108115122129143150157164" displayName="Tabell538455259808794101108115122129143150157164" ref="A18:F22" totalsRowShown="0" headerRowDxfId="2980" dataDxfId="2979">
  <autoFilter ref="A18:F22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699553D-0D3D-4F25-B71C-3DE79FD54FB7}" name="DAG" dataDxfId="1520">
      <calculatedColumnFormula>PROPER(TEXT(B19, "dddd"))</calculatedColumnFormula>
    </tableColumn>
    <tableColumn id="2" xr3:uid="{F35C6704-71ED-4E3F-A106-18C44DFDFEEC}" name="DATUM" dataDxfId="1518">
      <calculatedColumnFormula>Fredag37</calculatedColumnFormula>
    </tableColumn>
    <tableColumn id="3" xr3:uid="{EF74E2B1-754F-4DBC-8B28-1A2796769241}" name="Tid1" dataDxfId="1519"/>
    <tableColumn id="4" xr3:uid="{670ADF46-0303-46C2-8F02-ED042347899E}" name="TID" dataDxfId="2978"/>
    <tableColumn id="5" xr3:uid="{8C358965-1CEB-4154-A0C5-FE41C6C7BEE2}" name="ANTAL" dataDxfId="2977"/>
    <tableColumn id="6" xr3:uid="{DBF9DDF0-09B9-4FED-9AD6-53E97C217EEC}" name="GRUPP/LAG/SKOLA/ETC." dataDxfId="2976"/>
  </tableColumns>
  <tableStyleInfo name="Hallbokningsschema 2" showFirstColumn="0" showLastColumn="0" showRowStripes="0" showColumnStripes="0"/>
</table>
</file>

<file path=xl/tables/table2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201A2DFE-09EC-4023-A242-046FFD4BD95D}" name="Tabell639465360818895102109116123130144151158165" displayName="Tabell639465360818895102109116123130144151158165" ref="A23:F25" totalsRowShown="0" headerRowDxfId="2975" dataDxfId="2974">
  <autoFilter ref="A23:F25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4:F25">
    <sortCondition ref="C24:C25"/>
  </sortState>
  <tableColumns count="6">
    <tableColumn id="1" xr3:uid="{189EAFC7-7930-40A1-8062-74B4B1B31D3A}" name="DAG" dataDxfId="1517">
      <calculatedColumnFormula>PROPER(TEXT(B24, "dddd"))</calculatedColumnFormula>
    </tableColumn>
    <tableColumn id="2" xr3:uid="{B7D1ED26-2B7D-4EAD-8D94-3A5A48F5F0FB}" name="DATUM" dataDxfId="1515">
      <calculatedColumnFormula>Lördag37</calculatedColumnFormula>
    </tableColumn>
    <tableColumn id="3" xr3:uid="{1D05527B-E313-49E6-B834-5342E3ECBCC9}" name="Tid1" dataDxfId="1516"/>
    <tableColumn id="4" xr3:uid="{C05D1691-E14C-4249-BF7F-030B58753067}" name="TID" dataDxfId="2973"/>
    <tableColumn id="5" xr3:uid="{F43DE588-17F1-4C52-B795-F4B3B59FBB0A}" name="ANTAL" dataDxfId="2972"/>
    <tableColumn id="6" xr3:uid="{08B53A05-17FB-4F00-9603-8A0403948F3F}" name="GRUPP/LAG/SKOLA/ETC." dataDxfId="2971"/>
  </tableColumns>
  <tableStyleInfo name="Hallbokningsschema 2" showFirstColumn="0" showLastColumn="0" showRowStripes="0" showColumnStripes="0"/>
</table>
</file>

<file path=xl/tables/table2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28B8640B-3F1E-4601-A7BB-3B61CF8ED59C}" name="Tabell740475461828996103110117124131145152159166" displayName="Tabell740475461828996103110117124131145152159166" ref="A26:F27" totalsRowShown="0" headerRowDxfId="2970" dataDxfId="2969">
  <autoFilter ref="A26:F27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49D5CE2-2A33-4CB8-B2F0-0BFE4CCC11C8}" name="DAG" dataDxfId="1514">
      <calculatedColumnFormula>PROPER(TEXT(B27, "dddd"))</calculatedColumnFormula>
    </tableColumn>
    <tableColumn id="2" xr3:uid="{6EB3DEEC-C86A-43C7-9018-641BD66DD45E}" name="DATUM" dataDxfId="1512">
      <calculatedColumnFormula>Söndag37</calculatedColumnFormula>
    </tableColumn>
    <tableColumn id="3" xr3:uid="{9A278E49-3E70-4B11-852C-FADB8160F057}" name="Tid1" dataDxfId="1513"/>
    <tableColumn id="4" xr3:uid="{97A73681-A248-4AFB-8374-98D250404449}" name="TID" dataDxfId="2968"/>
    <tableColumn id="5" xr3:uid="{8BF77DB8-9CF2-4EE4-A0E3-B33176882BF5}" name="ANTAL" dataDxfId="2967"/>
    <tableColumn id="6" xr3:uid="{1C46B505-0035-4851-B4D6-66B282A1A778}" name="GRUPP/LAG/SKOLA/ETC." dataDxfId="2966"/>
  </tableColumns>
  <tableStyleInfo name="Hallbokningsschema 2" showFirstColumn="0" showLastColumn="0" showRowStripes="0" showColumnStripes="0"/>
</table>
</file>

<file path=xl/tables/table2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1EE49FAA-BB02-4C96-B5D1-1F8C11D83836}" name="Tabell13441485576839097104111118125139146153" displayName="Tabell13441485576839097104111118125139146153" ref="A2:F3" totalsRowShown="0" headerRowDxfId="2965" dataDxfId="2964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3">
    <sortCondition ref="C3"/>
  </sortState>
  <tableColumns count="6">
    <tableColumn id="1" xr3:uid="{B380182D-CD64-4E5E-BF7C-E7939C2160E6}" name="DAG" dataDxfId="1511">
      <calculatedColumnFormula>PROPER(TEXT(B3, "dddd"))</calculatedColumnFormula>
    </tableColumn>
    <tableColumn id="2" xr3:uid="{98670B69-F861-462C-A0A9-16D18B763699}" name="DATUM" dataDxfId="1509">
      <calculatedColumnFormula>Måndag38</calculatedColumnFormula>
    </tableColumn>
    <tableColumn id="3" xr3:uid="{39A94467-2232-48A2-930E-2692C9A8E715}" name="Tid1" dataDxfId="1510"/>
    <tableColumn id="4" xr3:uid="{11798FDD-21A9-473E-BBD4-7F70908FA258}" name="TID" dataDxfId="2963"/>
    <tableColumn id="5" xr3:uid="{779A698A-32E1-4F38-AD92-159DB6CFEFD4}" name="ANTAL" dataDxfId="2962"/>
    <tableColumn id="6" xr3:uid="{66C2A88F-C5FB-47E4-87DD-1F00495CC174}" name="GRUPP/LAG/SKOLA/ETC." dataDxfId="2961"/>
  </tableColumns>
  <tableStyleInfo name="Hallbokningsschema 2" showFirstColumn="0" showLastColumn="0" showRowStripes="0" showColumnStripes="0"/>
</table>
</file>

<file path=xl/tables/table2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80401460-7867-45A5-A41E-4E3A32A67E98}" name="Tabell23542495677849198105112119126140147154" displayName="Tabell23542495677849198105112119126140147154" ref="A4:F6" totalsRowShown="0" headerRowDxfId="2960" dataDxfId="2959">
  <autoFilter ref="A4:F6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5:F6">
    <sortCondition ref="C5:C6"/>
  </sortState>
  <tableColumns count="6">
    <tableColumn id="1" xr3:uid="{50166E16-33EA-4846-9D89-934B48B946F0}" name="DAG" dataDxfId="1508">
      <calculatedColumnFormula>PROPER(TEXT(B5, "dddd"))</calculatedColumnFormula>
    </tableColumn>
    <tableColumn id="2" xr3:uid="{528FF6C4-7C69-44AC-85B6-FA3212168E2E}" name="DATUM" dataDxfId="1506">
      <calculatedColumnFormula>Tisdag38</calculatedColumnFormula>
    </tableColumn>
    <tableColumn id="3" xr3:uid="{005A6196-E54A-4706-9103-73FD6773008E}" name="Tid1" dataDxfId="1507"/>
    <tableColumn id="4" xr3:uid="{00D389C0-DFBB-48EA-9325-047C5A93CA5B}" name="TID" dataDxfId="2958"/>
    <tableColumn id="5" xr3:uid="{9505C2CF-72DB-428B-8721-97F98F7A40E0}" name="ANTAL" dataDxfId="2957"/>
    <tableColumn id="6" xr3:uid="{56C13AD9-EA4F-4DDD-A8BB-50D89363E1E3}" name="GRUPP/LAG/SKOLA/ETC." dataDxfId="2956"/>
  </tableColumns>
  <tableStyleInfo name="Hallbokningsschema 2" showFirstColumn="0" showLastColumn="0" showRowStripes="0" showColumnStripes="0"/>
</table>
</file>

<file path=xl/tables/table2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1A1F428C-657F-44D0-8C7F-14D7795B53DD}" name="Tabell33643505778859299106113120127141148155" displayName="Tabell33643505778859299106113120127141148155" ref="A7:F12" totalsRowShown="0" headerRowDxfId="2955" dataDxfId="2954">
  <autoFilter ref="A7:F12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8:F12">
    <sortCondition ref="C8:C12"/>
  </sortState>
  <tableColumns count="6">
    <tableColumn id="1" xr3:uid="{C72BD0C2-23C7-4915-A84C-7E05667CC602}" name="DAG" dataDxfId="1505">
      <calculatedColumnFormula>PROPER(TEXT(B8, "dddd"))</calculatedColumnFormula>
    </tableColumn>
    <tableColumn id="2" xr3:uid="{4439C86B-A55C-4109-9794-D4BD64D4F3CD}" name="DATUM" dataDxfId="1503">
      <calculatedColumnFormula>Onsdag38</calculatedColumnFormula>
    </tableColumn>
    <tableColumn id="3" xr3:uid="{074CB401-F169-4EE8-9E28-8459FAC10FC4}" name="Tid1" dataDxfId="1504"/>
    <tableColumn id="4" xr3:uid="{C014A711-DAC4-434A-9960-21192B0715CB}" name="TID" dataDxfId="2953"/>
    <tableColumn id="5" xr3:uid="{2EBA600C-1EF3-45F3-B41A-78E157EF1FBE}" name="ANTAL" dataDxfId="2952"/>
    <tableColumn id="6" xr3:uid="{F38B74B0-6BED-4F07-B162-B771E9DDC63D}" name="GRUPP/LAG/SKOLA/ETC." dataDxfId="2951"/>
  </tableColumns>
  <tableStyleInfo name="Hallbokningsschema 2" showFirstColumn="0" showLastColumn="0" showRowStripes="0" showColumnStripes="0"/>
</table>
</file>

<file path=xl/tables/table2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91BADBC1-E102-45DE-AB64-B745406BC56D}" name="Tabell437445158798693100107114121128142149156" displayName="Tabell437445158798693100107114121128142149156" ref="A13:F17" totalsRowShown="0" headerRowDxfId="2950" dataDxfId="2949">
  <autoFilter ref="A13:F17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4:F17">
    <sortCondition ref="C14:C17"/>
  </sortState>
  <tableColumns count="6">
    <tableColumn id="1" xr3:uid="{E4773E50-A1E4-4A07-8CC5-7C4321104E61}" name="DAG" dataDxfId="1502">
      <calculatedColumnFormula>PROPER(TEXT(B14, "dddd"))</calculatedColumnFormula>
    </tableColumn>
    <tableColumn id="2" xr3:uid="{5F0A2A7B-9659-4E58-8850-CFFFCD5C4322}" name="DATUM" dataDxfId="1500">
      <calculatedColumnFormula>Torsdag38</calculatedColumnFormula>
    </tableColumn>
    <tableColumn id="3" xr3:uid="{66A0346D-3EAB-46A6-8602-4BDBA67D4D42}" name="Tid1" dataDxfId="1501"/>
    <tableColumn id="4" xr3:uid="{4DDD1119-C91F-4B02-A316-E11E1D8DFB4B}" name="TID" dataDxfId="2948"/>
    <tableColumn id="5" xr3:uid="{4B49659D-F395-4686-A86F-41881742C30C}" name="ANTAL" dataDxfId="2947"/>
    <tableColumn id="6" xr3:uid="{0ECEB027-F3DC-4D94-9038-B38A4C280325}" name="GRUPP/LAG/SKOLA/ETC." dataDxfId="2946"/>
  </tableColumns>
  <tableStyleInfo name="Hallbokningsschema 2" showFirstColumn="0" showLastColumn="0" showRowStripes="0" showColumnStripes="0"/>
</table>
</file>

<file path=xl/tables/table2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E76DD586-2CF4-4EB8-9B3C-08155BB5F1EF}" name="Tabell538455259808794101108115122129143150157" displayName="Tabell538455259808794101108115122129143150157" ref="A18:F23" totalsRowShown="0" headerRowDxfId="2945" dataDxfId="2944">
  <autoFilter ref="A18:F23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9:F23">
    <sortCondition ref="C19:C23"/>
  </sortState>
  <tableColumns count="6">
    <tableColumn id="1" xr3:uid="{1C7443A2-A90E-4739-B43F-4339545F32E7}" name="DAG" dataDxfId="1499">
      <calculatedColumnFormula>PROPER(TEXT(B19, "dddd"))</calculatedColumnFormula>
    </tableColumn>
    <tableColumn id="2" xr3:uid="{E08582DE-05D4-4F83-8058-A6DDF0602D04}" name="DATUM" dataDxfId="1497">
      <calculatedColumnFormula>Fredag38</calculatedColumnFormula>
    </tableColumn>
    <tableColumn id="3" xr3:uid="{ABC00137-F5DC-4E68-8987-9B05ADA6FD9A}" name="Tid1" dataDxfId="1498"/>
    <tableColumn id="4" xr3:uid="{A62C8CA5-6010-4698-AC78-4C7429A073A5}" name="TID" dataDxfId="2943"/>
    <tableColumn id="5" xr3:uid="{36D68E92-572D-4277-9CE0-CB8D16F1D55C}" name="ANTAL" dataDxfId="2942"/>
    <tableColumn id="6" xr3:uid="{5B237A86-ADE4-4A8C-8EAE-4740A0791001}" name="GRUPP/LAG/SKOLA/ETC." dataDxfId="2941"/>
  </tableColumns>
  <tableStyleInfo name="Hallbokningsschema 2" showFirstColumn="0" showLastColumn="0" showRowStripes="0" showColumnStripes="0"/>
</table>
</file>

<file path=xl/tables/table2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18D41E1E-8A81-4301-AE5F-6F3D73089571}" name="Tabell639465360818895102109116123130144151158" displayName="Tabell639465360818895102109116123130144151158" ref="A24:F25" totalsRowShown="0" headerRowDxfId="2940" dataDxfId="2939">
  <autoFilter ref="A24:F25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2E0685D-23F7-4032-9A15-FCB07BE14652}" name="DAG" dataDxfId="1496">
      <calculatedColumnFormula>PROPER(TEXT(B25, "dddd"))</calculatedColumnFormula>
    </tableColumn>
    <tableColumn id="2" xr3:uid="{58EDB60F-0C25-48DB-8D8C-100554F17877}" name="DATUM" dataDxfId="1494">
      <calculatedColumnFormula>Lördag38</calculatedColumnFormula>
    </tableColumn>
    <tableColumn id="3" xr3:uid="{4FAFE7B9-FBF4-4A79-A985-EEEDFBAF8673}" name="Tid1" dataDxfId="1495"/>
    <tableColumn id="4" xr3:uid="{8AD97BDD-2658-4DEA-8EE3-D448797777DD}" name="TID" dataDxfId="2938"/>
    <tableColumn id="5" xr3:uid="{6BB0E9C9-71AF-48A9-81DD-EE1E85B6EEC4}" name="ANTAL" dataDxfId="2937"/>
    <tableColumn id="6" xr3:uid="{5C6C0FE8-4096-4F28-98E6-2B10D5248177}" name="GRUPP/LAG/SKOLA/ETC." dataDxfId="2936"/>
  </tableColumns>
  <tableStyleInfo name="Hallbokningsschema 2" showFirstColumn="0" showLastColumn="0" showRowStripes="0" showColumnStripes="0"/>
</table>
</file>

<file path=xl/tables/table2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1487C462-DA47-498E-9879-5BC29752D347}" name="Tabell740475461828996103110117124131145152159" displayName="Tabell740475461828996103110117124131145152159" ref="A26:F27" totalsRowShown="0" headerRowDxfId="2935" dataDxfId="2934">
  <autoFilter ref="A26:F27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7:F27">
    <sortCondition ref="C27"/>
  </sortState>
  <tableColumns count="6">
    <tableColumn id="1" xr3:uid="{2ADDDBC8-33F1-46FA-AE69-E4A1674FD7F9}" name="DAG" dataDxfId="1493">
      <calculatedColumnFormula>PROPER(TEXT(B27, "dddd"))</calculatedColumnFormula>
    </tableColumn>
    <tableColumn id="2" xr3:uid="{AACC369F-8791-4183-8148-E9B6896BB474}" name="DATUM" dataDxfId="1491">
      <calculatedColumnFormula>Söndag38</calculatedColumnFormula>
    </tableColumn>
    <tableColumn id="3" xr3:uid="{8FDC4776-2E5D-4B69-B408-07F7AC556AD4}" name="Tid1" dataDxfId="1492"/>
    <tableColumn id="4" xr3:uid="{1B931365-0874-4F96-B239-C66D01C284C8}" name="TID" dataDxfId="2933"/>
    <tableColumn id="5" xr3:uid="{AEE7AA7A-796F-4003-92F1-C42CA813AB58}" name="ANTAL" dataDxfId="2932"/>
    <tableColumn id="6" xr3:uid="{F46EB51B-28D1-4056-8BF3-7A601BA86DBE}" name="GRUPP/LAG/SKOLA/ETC." dataDxfId="2931"/>
  </tableColumns>
  <tableStyleInfo name="Hallbokningsschema 2" showFirstColumn="0" showLastColumn="0" showRowStripes="0" showColumnStripes="0"/>
</table>
</file>

<file path=xl/tables/table2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74C6ABD5-2EC8-40B0-9E46-F44CFB8E4C8E}" name="Tabell13441485576839097104111118125139146" displayName="Tabell13441485576839097104111118125139146" ref="A2:F3" totalsRowShown="0" headerRowDxfId="2930" dataDxfId="2929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3">
    <sortCondition ref="C3"/>
  </sortState>
  <tableColumns count="6">
    <tableColumn id="1" xr3:uid="{C416329A-7D94-4DF5-A757-20FBDD17F086}" name="DAG" dataDxfId="1490">
      <calculatedColumnFormula>PROPER(TEXT(B3, "dddd"))</calculatedColumnFormula>
    </tableColumn>
    <tableColumn id="2" xr3:uid="{D42BD8C9-ECEC-41BA-9612-E7C94E26D1D3}" name="DATUM" dataDxfId="1488">
      <calculatedColumnFormula>Måndag39</calculatedColumnFormula>
    </tableColumn>
    <tableColumn id="3" xr3:uid="{0886DD3D-E0CC-4433-AD5D-C3C650A64FD4}" name="Tid1" dataDxfId="1489"/>
    <tableColumn id="4" xr3:uid="{905DA381-A03A-4ECF-9834-58B63EE59EB6}" name="TID" dataDxfId="2928"/>
    <tableColumn id="5" xr3:uid="{0BDBEA4E-635C-4E55-B55E-84214CC3D969}" name="ANTAL" dataDxfId="2927"/>
    <tableColumn id="6" xr3:uid="{38E1724F-DED3-4DF1-932D-D3215DF5C2BF}" name="GRUPP/LAG/SKOLA/ETC." dataDxfId="2926"/>
  </tableColumns>
  <tableStyleInfo name="Hallbokningsschema 2" showFirstColumn="0" showLastColumn="0" showRowStripes="0" showColumnStripes="0"/>
</table>
</file>

<file path=xl/tables/table2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CAC572C5-5E9D-4A81-ACE1-D859A5CE6E58}" name="Tabell23542495677849198105112119126140147" displayName="Tabell23542495677849198105112119126140147" ref="A4:F9" totalsRowShown="0" headerRowDxfId="2925" dataDxfId="2924">
  <autoFilter ref="A4:F9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5:F9">
    <sortCondition ref="C5:C9"/>
  </sortState>
  <tableColumns count="6">
    <tableColumn id="1" xr3:uid="{D055C5E1-26F7-441C-9314-740800F57DAE}" name="DAG" dataDxfId="1487">
      <calculatedColumnFormula>PROPER(TEXT(B5, "dddd"))</calculatedColumnFormula>
    </tableColumn>
    <tableColumn id="2" xr3:uid="{28195A85-DAFE-42A6-ABF4-CF82657E467F}" name="DATUM" dataDxfId="1485">
      <calculatedColumnFormula>Tisdag39</calculatedColumnFormula>
    </tableColumn>
    <tableColumn id="3" xr3:uid="{ABF6E2AC-0B16-4874-BEF2-5968D947592F}" name="Tid1" dataDxfId="1486"/>
    <tableColumn id="4" xr3:uid="{B6FB4728-2E89-4B10-B6EA-3EE4BEDAF66E}" name="TID" dataDxfId="2923"/>
    <tableColumn id="5" xr3:uid="{32A90D4E-7506-4D32-B034-ED1AEB6D57BA}" name="ANTAL" dataDxfId="2922"/>
    <tableColumn id="6" xr3:uid="{7DF2DE5E-8B53-457A-BB45-8FD8F312F047}" name="GRUPP/LAG/SKOLA/ETC." dataDxfId="2921"/>
  </tableColumns>
  <tableStyleInfo name="Hallbokningsschema 2" showFirstColumn="0" showLastColumn="0" showRowStripes="0" showColumnStripes="0"/>
</table>
</file>

<file path=xl/tables/table2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EC573D5B-61BA-47FC-A8DE-3B53EE21A5A0}" name="Tabell33643505778859299106113120127141148" displayName="Tabell33643505778859299106113120127141148" ref="A10:F20" totalsRowShown="0" headerRowDxfId="2920" dataDxfId="2919">
  <autoFilter ref="A10:F20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1:F20">
    <sortCondition ref="C11:C20"/>
  </sortState>
  <tableColumns count="6">
    <tableColumn id="1" xr3:uid="{3C83977E-9BEE-4A08-9485-83463251E106}" name="DAG" dataDxfId="1484">
      <calculatedColumnFormula>PROPER(TEXT(B11, "dddd"))</calculatedColumnFormula>
    </tableColumn>
    <tableColumn id="2" xr3:uid="{2DF667E1-4C0E-406C-BEF6-E1B2AF60F6C1}" name="DATUM" dataDxfId="1482">
      <calculatedColumnFormula>Onsdag39</calculatedColumnFormula>
    </tableColumn>
    <tableColumn id="3" xr3:uid="{7E11BE09-3DCD-4947-9028-233DE8A39472}" name="Tid1" dataDxfId="1483"/>
    <tableColumn id="4" xr3:uid="{462445E8-1402-4A70-9143-EA39799D89F8}" name="TID" dataDxfId="2918"/>
    <tableColumn id="5" xr3:uid="{93240C77-CCF0-47AE-A780-50E3809F8CFF}" name="ANTAL" dataDxfId="2917"/>
    <tableColumn id="6" xr3:uid="{BDEAA03C-8F4A-446E-BC4B-7059A53BD957}" name="GRUPP/LAG/SKOLA/ETC." dataDxfId="2916"/>
  </tableColumns>
  <tableStyleInfo name="Hallbokningsschema 2" showFirstColumn="0" showLastColumn="0" showRowStripes="0" showColumnStripes="0"/>
</table>
</file>

<file path=xl/tables/table2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B668D7F8-C746-4EF1-8AA8-71B9B9F01FE7}" name="Tabell437445158798693100107114121128142149" displayName="Tabell437445158798693100107114121128142149" ref="A21:F27" totalsRowShown="0" headerRowDxfId="2915" dataDxfId="2914">
  <autoFilter ref="A21:F27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2:F27">
    <sortCondition ref="C22:C27"/>
  </sortState>
  <tableColumns count="6">
    <tableColumn id="1" xr3:uid="{67243C0B-58CA-4864-9FB2-EA1760107954}" name="DAG" dataDxfId="1481">
      <calculatedColumnFormula>PROPER(TEXT(B22, "dddd"))</calculatedColumnFormula>
    </tableColumn>
    <tableColumn id="2" xr3:uid="{43971473-CFAD-4449-8D8F-1AE7B247BB2E}" name="DATUM" dataDxfId="1479">
      <calculatedColumnFormula>Torsdag39</calculatedColumnFormula>
    </tableColumn>
    <tableColumn id="3" xr3:uid="{13ADD932-7CF7-4730-8193-ADFED29F9992}" name="Tid1" dataDxfId="1480"/>
    <tableColumn id="4" xr3:uid="{AA165369-696B-48DE-B23A-BC4E7203A551}" name="TID" dataDxfId="2913"/>
    <tableColumn id="5" xr3:uid="{9EF58642-A3FD-457B-BD33-2B893CA5A54F}" name="ANTAL" dataDxfId="2912"/>
    <tableColumn id="6" xr3:uid="{B64DFF68-75B3-4A07-904F-11FF597F8314}" name="GRUPP/LAG/SKOLA/ETC." dataDxfId="2911"/>
  </tableColumns>
  <tableStyleInfo name="Hallbokningsschema 2" showFirstColumn="0" showLastColumn="0" showRowStripes="0" showColumnStripes="0"/>
</table>
</file>

<file path=xl/tables/table2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53379BF0-196D-4876-9641-E65C1A1BC008}" name="Tabell538455259808794101108115122129143150" displayName="Tabell538455259808794101108115122129143150" ref="A28:F34" totalsRowShown="0" headerRowDxfId="2910" dataDxfId="2909">
  <autoFilter ref="A28:F34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9:F34">
    <sortCondition ref="C29:C34"/>
  </sortState>
  <tableColumns count="6">
    <tableColumn id="1" xr3:uid="{B1019F5E-95CD-4B0D-BAC4-FBA8BBBBDF98}" name="DAG" dataDxfId="1478">
      <calculatedColumnFormula>PROPER(TEXT(B29, "dddd"))</calculatedColumnFormula>
    </tableColumn>
    <tableColumn id="2" xr3:uid="{282CB76D-2AE4-4F73-96FE-99B42A02EF44}" name="DATUM" dataDxfId="1476">
      <calculatedColumnFormula>Fredag39</calculatedColumnFormula>
    </tableColumn>
    <tableColumn id="3" xr3:uid="{C67DE6D2-10F4-41F2-A47B-DBB15852AD91}" name="Tid1" dataDxfId="1477"/>
    <tableColumn id="4" xr3:uid="{E29EFFB4-66B6-4CDB-B01F-0E5727AAC147}" name="TID" dataDxfId="2908"/>
    <tableColumn id="5" xr3:uid="{C5EBFCC0-267C-47F4-ABDB-7C5E11B4920D}" name="ANTAL" dataDxfId="2907"/>
    <tableColumn id="6" xr3:uid="{115ABAFE-2C4E-4109-92EC-86E309EC2F8E}" name="GRUPP/LAG/SKOLA/ETC." dataDxfId="2906"/>
  </tableColumns>
  <tableStyleInfo name="Hallbokningsschema 2" showFirstColumn="0" showLastColumn="0" showRowStripes="0" showColumnStripes="0"/>
</table>
</file>

<file path=xl/tables/table2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EFE295D7-50E7-4A0F-A7BA-3F7E4DD13A07}" name="Tabell639465360818895102109116123130144151" displayName="Tabell639465360818895102109116123130144151" ref="A35:F38" totalsRowShown="0" headerRowDxfId="2905" dataDxfId="2904">
  <autoFilter ref="A35:F38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D1ECE19-5B36-410D-9B73-07CB6A71B18C}" name="DAG" dataDxfId="1475">
      <calculatedColumnFormula>PROPER(TEXT(B36, "dddd"))</calculatedColumnFormula>
    </tableColumn>
    <tableColumn id="2" xr3:uid="{07E1B40B-8BCD-4F94-9E92-5E0E09A83AB0}" name="DATUM" dataDxfId="1473">
      <calculatedColumnFormula>Lördag39</calculatedColumnFormula>
    </tableColumn>
    <tableColumn id="3" xr3:uid="{39D9B7B8-425D-42E6-B16F-EC03F0A63DDC}" name="Tid1" dataDxfId="1474"/>
    <tableColumn id="4" xr3:uid="{EC9E164D-B9EF-4404-BCC5-5681825DC857}" name="TID" dataDxfId="2903"/>
    <tableColumn id="5" xr3:uid="{BA345A98-1EBA-43D1-99C2-B890014882E1}" name="ANTAL" dataDxfId="2902"/>
    <tableColumn id="6" xr3:uid="{2516BBAA-D1DB-47E5-9319-B0C7B02750B5}" name="GRUPP/LAG/SKOLA/ETC." dataDxfId="2901"/>
  </tableColumns>
  <tableStyleInfo name="Hallbokningsschema 2" showFirstColumn="0" showLastColumn="0" showRowStripes="0" showColumnStripes="0"/>
</table>
</file>

<file path=xl/tables/table2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B5D48140-42ED-4501-BE8C-AA5CD69C4F5E}" name="Tabell740475461828996103110117124131145152" displayName="Tabell740475461828996103110117124131145152" ref="A39:F40" totalsRowShown="0" headerRowDxfId="2900" dataDxfId="2899">
  <autoFilter ref="A39:F40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D437A5E-CF21-475D-81AD-7FDA36C10626}" name="DAG" dataDxfId="1472">
      <calculatedColumnFormula>PROPER(TEXT(B40, "dddd"))</calculatedColumnFormula>
    </tableColumn>
    <tableColumn id="2" xr3:uid="{ACB774FE-840C-4719-8CD4-BF4059E0F970}" name="DATUM" dataDxfId="1470">
      <calculatedColumnFormula>Söndag39</calculatedColumnFormula>
    </tableColumn>
    <tableColumn id="3" xr3:uid="{D6F30B79-1E4F-452E-B1C2-A3609252BAA1}" name="Tid1" dataDxfId="1471"/>
    <tableColumn id="4" xr3:uid="{22BCDE7C-83C0-43EB-AC53-092110FCA057}" name="TID" dataDxfId="2898"/>
    <tableColumn id="5" xr3:uid="{D297EE44-F9CB-4C74-A4B5-6E6A0B44B84C}" name="ANTAL" dataDxfId="2897"/>
    <tableColumn id="6" xr3:uid="{73F0B135-535F-4C1E-AD98-F2C08A13D631}" name="GRUPP/LAG/SKOLA/ETC." dataDxfId="2896"/>
  </tableColumns>
  <tableStyleInfo name="Hallbokningsschema 2" showFirstColumn="0" showLastColumn="0" showRowStripes="0" showColumnStripes="0"/>
</table>
</file>

<file path=xl/tables/table2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AC5A4717-49B2-413A-82D7-E1D0AE618503}" name="Tabell13441485576839097104111118125139" displayName="Tabell13441485576839097104111118125139" ref="A2:F5" totalsRowShown="0" headerRowDxfId="2895" dataDxfId="2894">
  <autoFilter ref="A2:F5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5">
    <sortCondition ref="C3:C5"/>
  </sortState>
  <tableColumns count="6">
    <tableColumn id="1" xr3:uid="{C2E61614-7BDC-4495-985C-0ECFFD68070C}" name="DAG" dataDxfId="1469">
      <calculatedColumnFormula>PROPER(TEXT(B3, "dddd"))</calculatedColumnFormula>
    </tableColumn>
    <tableColumn id="2" xr3:uid="{D91708EB-26B7-4DC4-8D6D-5D60FDD9476E}" name="DATUM" dataDxfId="1467">
      <calculatedColumnFormula>Måndag40</calculatedColumnFormula>
    </tableColumn>
    <tableColumn id="3" xr3:uid="{A174BF56-B2D3-4C07-9929-31079605AE38}" name="Tid1" dataDxfId="1468"/>
    <tableColumn id="4" xr3:uid="{C93A2ACF-38EF-480C-90FA-6AD8B4BEDBBF}" name="TID" dataDxfId="2893"/>
    <tableColumn id="5" xr3:uid="{664401C5-641B-4C1D-BCCE-9161638A2C6D}" name="ANTAL" dataDxfId="2892"/>
    <tableColumn id="6" xr3:uid="{767BE82F-3F4F-4701-821D-E4DD45F367EC}" name="GRUPP/LAG/SKOLA/ETC." dataDxfId="2891"/>
  </tableColumns>
  <tableStyleInfo name="Hallbokningsschema 2" showFirstColumn="0" showLastColumn="0" showRowStripes="0" showColumnStripes="0"/>
</table>
</file>

<file path=xl/tables/table2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1BE2EDF2-B743-434D-9DD4-7CE5F988F052}" name="Tabell23542495677849198105112119126140" displayName="Tabell23542495677849198105112119126140" ref="A6:F10" totalsRowShown="0" headerRowDxfId="2890" dataDxfId="2889">
  <autoFilter ref="A6:F10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7:F10">
    <sortCondition ref="C7:C10"/>
  </sortState>
  <tableColumns count="6">
    <tableColumn id="1" xr3:uid="{AF930292-CA81-43C8-9E3E-E9DFCCD69677}" name="DAG" dataDxfId="1466">
      <calculatedColumnFormula>PROPER(TEXT(B7, "dddd"))</calculatedColumnFormula>
    </tableColumn>
    <tableColumn id="2" xr3:uid="{7B3DB876-632A-4C26-B9A6-BE99E9FBAFCA}" name="DATUM" dataDxfId="1464">
      <calculatedColumnFormula>Tisdag40</calculatedColumnFormula>
    </tableColumn>
    <tableColumn id="3" xr3:uid="{C19350C7-8482-41BD-9266-7AF655CBE27F}" name="Tid1" dataDxfId="1465"/>
    <tableColumn id="4" xr3:uid="{25E1DC3D-0EE2-414F-8F9A-E0ABE572BF49}" name="TID" dataDxfId="2888"/>
    <tableColumn id="5" xr3:uid="{8A50F613-9D99-402D-8FF2-FEECADC53344}" name="ANTAL" dataDxfId="2887"/>
    <tableColumn id="6" xr3:uid="{90E3CB80-1AF8-4800-934C-A4799C4D9AEF}" name="GRUPP/LAG/SKOLA/ETC." dataDxfId="2886"/>
  </tableColumns>
  <tableStyleInfo name="Hallbokningsschema 2" showFirstColumn="0" showLastColumn="0" showRowStripes="0" showColumnStripes="0"/>
</table>
</file>

<file path=xl/tables/table2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53C100AE-844D-4CEB-AB02-90BCFA460381}" name="Tabell33643505778859299106113120127141" displayName="Tabell33643505778859299106113120127141" ref="A11:F20" totalsRowShown="0" headerRowDxfId="2885" dataDxfId="2884">
  <autoFilter ref="A11:F20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2:F20">
    <sortCondition ref="C12:C20"/>
  </sortState>
  <tableColumns count="6">
    <tableColumn id="1" xr3:uid="{D0986F67-ABD4-4BE1-BA9E-8AD38CC34E3E}" name="DAG" dataDxfId="1463">
      <calculatedColumnFormula>PROPER(TEXT(B12, "dddd"))</calculatedColumnFormula>
    </tableColumn>
    <tableColumn id="2" xr3:uid="{204EA87A-D010-4CB8-AC70-14AA3549D26E}" name="DATUM" dataDxfId="1461">
      <calculatedColumnFormula>Onsdag40</calculatedColumnFormula>
    </tableColumn>
    <tableColumn id="3" xr3:uid="{DA2068D2-A8C3-41E0-B1F7-BED8672FD452}" name="Tid1" dataDxfId="1462"/>
    <tableColumn id="4" xr3:uid="{97F3ECCD-EB2C-45AE-8783-65AEE77FFFF9}" name="TID" dataDxfId="2883"/>
    <tableColumn id="5" xr3:uid="{211A5AA9-064F-416C-AB9B-A504470B59FF}" name="ANTAL" dataDxfId="2882"/>
    <tableColumn id="6" xr3:uid="{E54C29A0-9C43-4601-A0BF-45FC0C105390}" name="GRUPP/LAG/SKOLA/ETC." dataDxfId="2881"/>
  </tableColumns>
  <tableStyleInfo name="Hallbokningsschema 2" showFirstColumn="0" showLastColumn="0" showRowStripes="0" showColumnStripes="0"/>
</table>
</file>

<file path=xl/tables/table2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E21560CC-C965-4F5B-BCD3-0A2EB7827B6D}" name="Tabell437445158798693100107114121128142" displayName="Tabell437445158798693100107114121128142" ref="A21:F27" totalsRowShown="0" headerRowDxfId="2880" dataDxfId="2879">
  <autoFilter ref="A21:F27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2:F27">
    <sortCondition ref="C22:C27"/>
  </sortState>
  <tableColumns count="6">
    <tableColumn id="1" xr3:uid="{B1305EB6-F26F-4DB8-898E-C41E149B9B8F}" name="DAG" dataDxfId="1460">
      <calculatedColumnFormula>PROPER(TEXT(B22, "dddd"))</calculatedColumnFormula>
    </tableColumn>
    <tableColumn id="2" xr3:uid="{6D2457FC-64ED-4E9D-A92F-535301BC740D}" name="DATUM" dataDxfId="1458">
      <calculatedColumnFormula>Torsdag40</calculatedColumnFormula>
    </tableColumn>
    <tableColumn id="3" xr3:uid="{B44B0982-21A7-47E7-B701-AFCD1CD49AA3}" name="Tid1" dataDxfId="1459"/>
    <tableColumn id="4" xr3:uid="{A37D6B73-AA49-4311-80A7-47B467E34AD8}" name="TID" dataDxfId="2878"/>
    <tableColumn id="5" xr3:uid="{72FE3E6E-2308-4D2F-A705-C152ABB08A9B}" name="ANTAL" dataDxfId="2877"/>
    <tableColumn id="6" xr3:uid="{E928D486-2271-4D40-BA2B-CD78BD156066}" name="GRUPP/LAG/SKOLA/ETC." dataDxfId="2876"/>
  </tableColumns>
  <tableStyleInfo name="Hallbokningsschema 2" showFirstColumn="0" showLastColumn="0" showRowStripes="0" showColumnStripes="0"/>
</table>
</file>

<file path=xl/tables/table2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5250C6E7-1EAC-4960-A90F-97197E6DD987}" name="Tabell538455259808794101108115122129143" displayName="Tabell538455259808794101108115122129143" ref="A28:F35" totalsRowShown="0" headerRowDxfId="2875" dataDxfId="2874">
  <autoFilter ref="A28:F35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9:F35">
    <sortCondition ref="C29:C35"/>
  </sortState>
  <tableColumns count="6">
    <tableColumn id="1" xr3:uid="{FA626066-1783-44B9-B25E-1CC03B1702E1}" name="DAG" dataDxfId="1457">
      <calculatedColumnFormula>PROPER(TEXT(B29, "dddd"))</calculatedColumnFormula>
    </tableColumn>
    <tableColumn id="2" xr3:uid="{FF7360D6-DE44-4FE7-BFE3-AFAE2D431D30}" name="DATUM" dataDxfId="1455">
      <calculatedColumnFormula>Fredag40</calculatedColumnFormula>
    </tableColumn>
    <tableColumn id="3" xr3:uid="{DFE66550-EDC1-4BA1-9A1B-29A9F184407C}" name="Tid1" dataDxfId="1456"/>
    <tableColumn id="4" xr3:uid="{F13559F2-4109-4A7B-864D-5B073DD06E10}" name="TID" dataDxfId="2873"/>
    <tableColumn id="5" xr3:uid="{D5C10DAF-9664-443C-AA9D-C0969DE9526A}" name="ANTAL" dataDxfId="2872"/>
    <tableColumn id="6" xr3:uid="{C7A96223-CA0C-4F9E-8B57-2319A7A00B4B}" name="GRUPP/LAG/SKOLA/ETC." dataDxfId="2871"/>
  </tableColumns>
  <tableStyleInfo name="Hallbokningsschema 2" showFirstColumn="0" showLastColumn="0" showRowStripes="0" showColumnStripes="0"/>
</table>
</file>

<file path=xl/tables/table2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01B4A590-3629-4F0E-8C70-8108AEA2D2E5}" name="Tabell639465360818895102109116123130144" displayName="Tabell639465360818895102109116123130144" ref="A36:F37" totalsRowShown="0" headerRowDxfId="2870" dataDxfId="2869">
  <autoFilter ref="A36:F37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7:F37">
    <sortCondition ref="C37"/>
  </sortState>
  <tableColumns count="6">
    <tableColumn id="1" xr3:uid="{D93C52B1-E7ED-4EC0-A218-59523FFDBA07}" name="DAG" dataDxfId="1454">
      <calculatedColumnFormula>PROPER(TEXT(B37, "dddd"))</calculatedColumnFormula>
    </tableColumn>
    <tableColumn id="2" xr3:uid="{0B937309-E889-47A6-823B-D2F598AB1426}" name="DATUM" dataDxfId="1452">
      <calculatedColumnFormula>Lördag40</calculatedColumnFormula>
    </tableColumn>
    <tableColumn id="3" xr3:uid="{032EAACF-4D36-4AC7-915E-CE431A8D7DC0}" name="Tid1" dataDxfId="1453"/>
    <tableColumn id="4" xr3:uid="{B383BDA5-DB89-4494-84F8-84AE2F5C55F9}" name="TID" dataDxfId="2868"/>
    <tableColumn id="5" xr3:uid="{4A05605E-30D7-478F-9CCF-E067B4C9A31C}" name="ANTAL" dataDxfId="2867"/>
    <tableColumn id="6" xr3:uid="{3041FE52-FC94-43F4-B6E7-12F963F97344}" name="GRUPP/LAG/SKOLA/ETC." dataDxfId="2866"/>
  </tableColumns>
  <tableStyleInfo name="Hallbokningsschema 2" showFirstColumn="0" showLastColumn="0" showRowStripes="0" showColumnStripes="0"/>
</table>
</file>

<file path=xl/tables/table2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32D61203-33CE-42FD-854F-2D313CB7E689}" name="Tabell740475461828996103110117124131145" displayName="Tabell740475461828996103110117124131145" ref="A38:F39" totalsRowShown="0" headerRowDxfId="2865" dataDxfId="2864">
  <autoFilter ref="A38:F39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9:F39">
    <sortCondition ref="C39"/>
  </sortState>
  <tableColumns count="6">
    <tableColumn id="1" xr3:uid="{0CBCE991-9101-4CB0-ADAA-41123BFC88A0}" name="DAG" dataDxfId="1451">
      <calculatedColumnFormula>PROPER(TEXT(B39, "dddd"))</calculatedColumnFormula>
    </tableColumn>
    <tableColumn id="2" xr3:uid="{EBE9D77E-FD98-4D19-9461-196326CD0DF8}" name="DATUM" dataDxfId="1449">
      <calculatedColumnFormula>Söndag40</calculatedColumnFormula>
    </tableColumn>
    <tableColumn id="3" xr3:uid="{841EA455-F3BE-4FB0-A99E-5BABD10525F0}" name="Tid1" dataDxfId="1450"/>
    <tableColumn id="4" xr3:uid="{9A83CACC-3610-4FD2-A9B2-A3EA38A5107D}" name="TID" dataDxfId="2863"/>
    <tableColumn id="5" xr3:uid="{10CBF726-8C01-4818-B710-3F3ECBB3EB8D}" name="ANTAL" dataDxfId="2862"/>
    <tableColumn id="6" xr3:uid="{AEEADF79-AADF-4A2A-801F-F140132D2417}" name="GRUPP/LAG/SKOLA/ETC." dataDxfId="2861"/>
  </tableColumns>
  <tableStyleInfo name="Hallbokningsschema 2" showFirstColumn="0" showLastColumn="0" showRowStripes="0" showColumnStripes="0"/>
</table>
</file>

<file path=xl/tables/table2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D245EB7B-C435-4B75-B200-EFE653C7A932}" name="Tabell13441485576839097104111118125" displayName="Tabell13441485576839097104111118125" ref="A2:F4" totalsRowShown="0" headerRowDxfId="2860" dataDxfId="2859">
  <autoFilter ref="A2:F4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4">
    <sortCondition ref="C3:C4"/>
  </sortState>
  <tableColumns count="6">
    <tableColumn id="1" xr3:uid="{C01090F4-E78E-4ACE-88F1-511BE91E4FF8}" name="DAG" dataDxfId="1448">
      <calculatedColumnFormula>PROPER(TEXT(B3, "dddd"))</calculatedColumnFormula>
    </tableColumn>
    <tableColumn id="2" xr3:uid="{BEB5708A-5282-4DC7-AE6E-BC121BCE0EAC}" name="DATUM" dataDxfId="1446">
      <calculatedColumnFormula>Måndag41</calculatedColumnFormula>
    </tableColumn>
    <tableColumn id="3" xr3:uid="{639C1458-9993-403C-A05C-588BE7ED227E}" name="Tid1" dataDxfId="1447"/>
    <tableColumn id="4" xr3:uid="{DFB72F9B-6CEF-46B8-A40F-A2F5510341B9}" name="TID" dataDxfId="2858"/>
    <tableColumn id="5" xr3:uid="{D47A89B7-C927-4E58-8EC4-612ABFB8AAC7}" name="ANTAL" dataDxfId="2857"/>
    <tableColumn id="6" xr3:uid="{A5D57510-0EEE-4CA0-857E-7305B3DBD204}" name="GRUPP/LAG/SKOLA/ETC." dataDxfId="2856"/>
  </tableColumns>
  <tableStyleInfo name="Hallbokningsschema 2" showFirstColumn="0" showLastColumn="0" showRowStripes="0" showColumnStripes="0"/>
</table>
</file>

<file path=xl/tables/table2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F863C282-7265-48BB-8C91-C2084CF8102A}" name="Tabell23542495677849198105112119126" displayName="Tabell23542495677849198105112119126" ref="A5:F10" totalsRowShown="0" headerRowDxfId="2855" dataDxfId="2854">
  <autoFilter ref="A5:F10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6:F10">
    <sortCondition ref="C6:C10"/>
  </sortState>
  <tableColumns count="6">
    <tableColumn id="1" xr3:uid="{169DF43B-E81B-47FC-9D52-D5C4F3A4A839}" name="DAG" dataDxfId="1445">
      <calculatedColumnFormula>PROPER(TEXT(B6, "dddd"))</calculatedColumnFormula>
    </tableColumn>
    <tableColumn id="2" xr3:uid="{7713D2F6-9D42-417B-8832-D9A36A34B0F1}" name="DATUM" dataDxfId="1443">
      <calculatedColumnFormula>Tisdag41</calculatedColumnFormula>
    </tableColumn>
    <tableColumn id="3" xr3:uid="{075BA42C-F6F3-4A5C-BC12-E7E8CC644AFD}" name="Tid1" dataDxfId="1444"/>
    <tableColumn id="4" xr3:uid="{F2C0F637-CF9B-4F93-93BD-1828DBBBB757}" name="TID" dataDxfId="2853"/>
    <tableColumn id="5" xr3:uid="{43B571A3-3465-49EA-97EC-241DB6E98273}" name="ANTAL" dataDxfId="2852"/>
    <tableColumn id="6" xr3:uid="{BCE40EAD-4B21-452C-838B-8255DB6327F7}" name="GRUPP/LAG/SKOLA/ETC." dataDxfId="2851"/>
  </tableColumns>
  <tableStyleInfo name="Hallbokningsschema 2" showFirstColumn="0" showLastColumn="0" showRowStripes="0" showColumnStripes="0"/>
</table>
</file>

<file path=xl/tables/table2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13112CB7-6BB0-48E9-843C-4BF3A9EDD7AF}" name="Tabell33643505778859299106113120127" displayName="Tabell33643505778859299106113120127" ref="A11:F19" totalsRowShown="0" headerRowDxfId="2850" dataDxfId="2849">
  <autoFilter ref="A11:F19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2:F19">
    <sortCondition ref="C12:C19"/>
  </sortState>
  <tableColumns count="6">
    <tableColumn id="1" xr3:uid="{7E3D80FC-3657-4486-B433-69E7E17DD1B0}" name="DAG" dataDxfId="1442">
      <calculatedColumnFormula>PROPER(TEXT(B12, "dddd"))</calculatedColumnFormula>
    </tableColumn>
    <tableColumn id="2" xr3:uid="{F40D8EC5-7C01-4C88-A270-E23968CDC454}" name="DATUM" dataDxfId="1440">
      <calculatedColumnFormula>Onsdag41</calculatedColumnFormula>
    </tableColumn>
    <tableColumn id="3" xr3:uid="{A1238DFB-C102-419D-957E-A02B153D8E8A}" name="Tid1" dataDxfId="1441"/>
    <tableColumn id="4" xr3:uid="{F93B9A4E-9AE1-478B-A882-6732107C9F49}" name="TID" dataDxfId="2848"/>
    <tableColumn id="5" xr3:uid="{D80D1F18-9249-4150-8FFD-9721F06BA7C7}" name="ANTAL" dataDxfId="2847"/>
    <tableColumn id="6" xr3:uid="{E382B0EA-B5DF-4BC8-8AEE-EBF2EECD1C60}" name="GRUPP/LAG/SKOLA/ETC." dataDxfId="2846"/>
  </tableColumns>
  <tableStyleInfo name="Hallbokningsschema 2" showFirstColumn="0" showLastColumn="0" showRowStripes="0" showColumnStripes="0"/>
</table>
</file>

<file path=xl/tables/table2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11C7293D-6DFE-41B8-82AD-41F5B3AC6FB7}" name="Tabell437445158798693100107114121128" displayName="Tabell437445158798693100107114121128" ref="A20:F25" totalsRowShown="0" headerRowDxfId="2845" dataDxfId="2844">
  <autoFilter ref="A20:F25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1:F25">
    <sortCondition ref="C21:C25"/>
  </sortState>
  <tableColumns count="6">
    <tableColumn id="1" xr3:uid="{FAC0F84E-D04F-43E9-9311-852E62CC57EF}" name="DAG" dataDxfId="1439">
      <calculatedColumnFormula>PROPER(TEXT(B21, "dddd"))</calculatedColumnFormula>
    </tableColumn>
    <tableColumn id="2" xr3:uid="{B6DC1103-7237-4F9E-BFB3-5DB35216760D}" name="DATUM" dataDxfId="1437">
      <calculatedColumnFormula>Torsdag41</calculatedColumnFormula>
    </tableColumn>
    <tableColumn id="3" xr3:uid="{5CE59DC0-3FFD-4836-A339-CCB01A0A0B75}" name="Tid1" dataDxfId="1438"/>
    <tableColumn id="4" xr3:uid="{0006165A-BD6F-4391-BAB6-371B2B49F9E2}" name="TID" dataDxfId="2843"/>
    <tableColumn id="5" xr3:uid="{41D25BA5-BCAC-40B7-9D8F-A40FFAE4E60C}" name="ANTAL" dataDxfId="2842"/>
    <tableColumn id="6" xr3:uid="{84AFA6AC-1DE7-48F7-AEDA-BA50A793DEE0}" name="GRUPP/LAG/SKOLA/ETC." dataDxfId="2841"/>
  </tableColumns>
  <tableStyleInfo name="Hallbokningsschema 2" showFirstColumn="0" showLastColumn="0" showRowStripes="0" showColumnStripes="0"/>
</table>
</file>

<file path=xl/tables/table2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210120BE-D38C-4DB5-94FA-F03E376441CF}" name="Tabell538455259808794101108115122129" displayName="Tabell538455259808794101108115122129" ref="A26:F33" totalsRowShown="0" headerRowDxfId="2840" dataDxfId="2839">
  <autoFilter ref="A26:F33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7:F32">
    <sortCondition ref="C27:C32"/>
  </sortState>
  <tableColumns count="6">
    <tableColumn id="1" xr3:uid="{CD3511DB-4A69-4454-A308-C8CC4F04DF71}" name="DAG" dataDxfId="1436">
      <calculatedColumnFormula>PROPER(TEXT(B27, "dddd"))</calculatedColumnFormula>
    </tableColumn>
    <tableColumn id="2" xr3:uid="{AC5BAC59-145C-482E-9B0F-7F0EAD98777C}" name="DATUM" dataDxfId="1434">
      <calculatedColumnFormula>Fredag41</calculatedColumnFormula>
    </tableColumn>
    <tableColumn id="3" xr3:uid="{CA2A2CC1-A0F2-4846-8B82-A8808ED89C3B}" name="Tid1" dataDxfId="1435"/>
    <tableColumn id="4" xr3:uid="{FCC69EEE-223B-4676-8BE5-7382186D8E56}" name="TID" dataDxfId="2838"/>
    <tableColumn id="5" xr3:uid="{90AF7A4D-5331-4E67-A1C0-9C2AFE3E0259}" name="ANTAL" dataDxfId="2837"/>
    <tableColumn id="6" xr3:uid="{8FCD8C70-E2D8-44A2-874B-E0C44259CE80}" name="GRUPP/LAG/SKOLA/ETC." dataDxfId="2836"/>
  </tableColumns>
  <tableStyleInfo name="Hallbokningsschema 2" showFirstColumn="0" showLastColumn="0" showRowStripes="0" showColumnStripes="0"/>
</table>
</file>

<file path=xl/tables/table2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3C15368A-0401-47FF-A5C0-A2A4E455D6D3}" name="Tabell639465360818895102109116123130" displayName="Tabell639465360818895102109116123130" ref="A34:F38" totalsRowShown="0" headerRowDxfId="2835" dataDxfId="2834">
  <autoFilter ref="A34:F38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5:F38">
    <sortCondition ref="C35:C38"/>
  </sortState>
  <tableColumns count="6">
    <tableColumn id="1" xr3:uid="{5118CBB2-3DDE-445B-82BF-6AE87990F2DD}" name="DAG" dataDxfId="1433">
      <calculatedColumnFormula>PROPER(TEXT(B35, "dddd"))</calculatedColumnFormula>
    </tableColumn>
    <tableColumn id="2" xr3:uid="{11B9CDC9-1B9C-4EC8-A84A-14ECD9A89A8C}" name="DATUM" dataDxfId="1431">
      <calculatedColumnFormula>Lördag41</calculatedColumnFormula>
    </tableColumn>
    <tableColumn id="3" xr3:uid="{23969EF0-A1F3-4646-A3D4-D8E5E71A21E6}" name="Tid1" dataDxfId="1432"/>
    <tableColumn id="4" xr3:uid="{2FA21F83-4144-478E-BA32-0B7DA8FE8E24}" name="TID" dataDxfId="2833"/>
    <tableColumn id="5" xr3:uid="{5471B982-FB48-4B86-B68D-661C538F7E22}" name="ANTAL" dataDxfId="2832"/>
    <tableColumn id="6" xr3:uid="{793CC409-8D56-4CDF-AE8A-92EBA2E5496B}" name="GRUPP/LAG/SKOLA/ETC." dataDxfId="2831"/>
  </tableColumns>
  <tableStyleInfo name="Hallbokningsschema 2" showFirstColumn="0" showLastColumn="0" showRowStripes="0" showColumnStripes="0"/>
</table>
</file>

<file path=xl/tables/table2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DFF31DB6-A509-4412-A83B-2CDF7DC0E6BC}" name="Tabell740475461828996103110117124131" displayName="Tabell740475461828996103110117124131" ref="A39:F40" totalsRowShown="0" headerRowDxfId="2830" dataDxfId="2829">
  <autoFilter ref="A39:F40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F1456D8-BC67-4CB2-B31F-374E7CE230A6}" name="DAG" dataDxfId="1430">
      <calculatedColumnFormula>PROPER(TEXT(B40, "dddd"))</calculatedColumnFormula>
    </tableColumn>
    <tableColumn id="2" xr3:uid="{BA0C0FBD-B22A-4D3C-9AD0-62DBC3125647}" name="DATUM" dataDxfId="1428">
      <calculatedColumnFormula>Söndag41</calculatedColumnFormula>
    </tableColumn>
    <tableColumn id="3" xr3:uid="{D737B26A-4839-4D7C-ABBB-AAE539724F00}" name="Tid1" dataDxfId="1429"/>
    <tableColumn id="4" xr3:uid="{002A7DAA-033A-4BB2-B61A-040F37F492ED}" name="TID" dataDxfId="2828"/>
    <tableColumn id="5" xr3:uid="{C48263E5-DAE3-4382-B3D4-8937D1402454}" name="ANTAL" dataDxfId="2827"/>
    <tableColumn id="6" xr3:uid="{DEC4BC15-CBE5-4B8A-AA4D-4F80DC23E3C1}" name="GRUPP/LAG/SKOLA/ETC." dataDxfId="2826"/>
  </tableColumns>
  <tableStyleInfo name="Hallbokningsschema 2" showFirstColumn="0" showLastColumn="0" showRowStripes="0" showColumnStripes="0"/>
</table>
</file>

<file path=xl/tables/table2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A4C7D152-4516-4076-B039-0724C96C9436}" name="Tabell13441485576839097104111118" displayName="Tabell13441485576839097104111118" ref="A2:F3" totalsRowShown="0" headerRowDxfId="2825" dataDxfId="2824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3">
    <sortCondition ref="C3"/>
  </sortState>
  <tableColumns count="6">
    <tableColumn id="1" xr3:uid="{CAA9A1F0-6EB8-4697-B108-850A169C30C2}" name="DAG" dataDxfId="1427">
      <calculatedColumnFormula>PROPER(TEXT(B3, "dddd"))</calculatedColumnFormula>
    </tableColumn>
    <tableColumn id="2" xr3:uid="{C798AF14-5592-4960-A32D-A4CCFFDD6253}" name="DATUM" dataDxfId="1425">
      <calculatedColumnFormula>Måndag42</calculatedColumnFormula>
    </tableColumn>
    <tableColumn id="3" xr3:uid="{D8711833-F93C-4EF2-9AB2-F3C5A9BF31EB}" name="Tid1" dataDxfId="1426"/>
    <tableColumn id="4" xr3:uid="{58B3C115-04EC-44CD-B600-FCFB01839475}" name="TID" dataDxfId="2823"/>
    <tableColumn id="5" xr3:uid="{869DBE47-EAF1-4A26-BAF6-AF3736C0B72C}" name="ANTAL" dataDxfId="2822"/>
    <tableColumn id="6" xr3:uid="{A18D4060-6E97-4873-B69C-FCE64AEA75D6}" name="GRUPP/LAG/SKOLA/ETC." dataDxfId="2821"/>
  </tableColumns>
  <tableStyleInfo name="Hallbokningsschema 2" showFirstColumn="0" showLastColumn="0" showRowStripes="0" showColumnStripes="0"/>
</table>
</file>

<file path=xl/tables/table2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325349DA-E74D-4E14-8A40-CC47B5A9F382}" name="Tabell23542495677849198105112119" displayName="Tabell23542495677849198105112119" ref="A4:F7" totalsRowShown="0" headerRowDxfId="2820" dataDxfId="2819">
  <autoFilter ref="A4:F7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5:F7">
    <sortCondition ref="C5:C7"/>
  </sortState>
  <tableColumns count="6">
    <tableColumn id="1" xr3:uid="{B94B41C0-AFAE-4DB9-ACEC-6BCE5C105674}" name="DAG" dataDxfId="1424">
      <calculatedColumnFormula>PROPER(TEXT(B5, "dddd"))</calculatedColumnFormula>
    </tableColumn>
    <tableColumn id="2" xr3:uid="{DAD7E568-B073-4DEC-A1A1-410551F5CAC2}" name="DATUM" dataDxfId="1422">
      <calculatedColumnFormula>Tisdag42</calculatedColumnFormula>
    </tableColumn>
    <tableColumn id="3" xr3:uid="{2194E7BD-7B33-4F84-A0FC-D4D4650848A3}" name="Tid1" dataDxfId="1423"/>
    <tableColumn id="4" xr3:uid="{E5309780-9F81-4F0A-866C-2168E13171BB}" name="TID" dataDxfId="2818"/>
    <tableColumn id="5" xr3:uid="{E08550F1-B99F-433A-AC80-D0730E79C82B}" name="ANTAL" dataDxfId="2817"/>
    <tableColumn id="6" xr3:uid="{E67BD5A4-702D-4185-B671-D0CF0F19FB9A}" name="GRUPP/LAG/SKOLA/ETC." dataDxfId="2816"/>
  </tableColumns>
  <tableStyleInfo name="Hallbokningsschema 2" showFirstColumn="0" showLastColumn="0" showRowStripes="0" showColumnStripes="0"/>
</table>
</file>

<file path=xl/tables/table2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86DA6A11-3697-4A3E-B3FA-15BD8469FC80}" name="Tabell33643505778859299106113120" displayName="Tabell33643505778859299106113120" ref="A8:F17" totalsRowShown="0" headerRowDxfId="2815" dataDxfId="2814">
  <autoFilter ref="A8:F1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9:F17">
    <sortCondition ref="C9:C17"/>
  </sortState>
  <tableColumns count="6">
    <tableColumn id="1" xr3:uid="{A4DABC4C-4DF8-41DD-BF60-660594A2EFA4}" name="DAG" dataDxfId="1421">
      <calculatedColumnFormula>PROPER(TEXT(B9, "dddd"))</calculatedColumnFormula>
    </tableColumn>
    <tableColumn id="2" xr3:uid="{933BE029-5013-403C-8C50-09351BBD8504}" name="DATUM" dataDxfId="1419">
      <calculatedColumnFormula>Onsdag42</calculatedColumnFormula>
    </tableColumn>
    <tableColumn id="3" xr3:uid="{F13B894A-01E7-4BC4-825F-CC282DBDD513}" name="Tid1" dataDxfId="1420"/>
    <tableColumn id="4" xr3:uid="{B3622D83-18A5-4F5F-9CDD-B50D4210F9EC}" name="TID" dataDxfId="2813"/>
    <tableColumn id="5" xr3:uid="{33F428F2-736F-4562-BAF4-F316FE395A94}" name="ANTAL" dataDxfId="2812"/>
    <tableColumn id="6" xr3:uid="{F3906AB5-679B-48FB-9EF3-B022CFA00365}" name="GRUPP/LAG/SKOLA/ETC." dataDxfId="2811"/>
  </tableColumns>
  <tableStyleInfo name="Hallbokningsschema 2" showFirstColumn="0" showLastColumn="0" showRowStripes="0" showColumnStripes="0"/>
</table>
</file>

<file path=xl/tables/table2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29AADEB8-62FC-4A1E-8917-ACD8A0BB06A6}" name="Tabell437445158798693100107114121" displayName="Tabell437445158798693100107114121" ref="A18:F23" totalsRowShown="0" headerRowDxfId="2810" dataDxfId="2809">
  <autoFilter ref="A18:F23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9:F23">
    <sortCondition ref="C19:C23"/>
  </sortState>
  <tableColumns count="6">
    <tableColumn id="1" xr3:uid="{C768981D-0C3C-4EDB-9610-FA2E88F3104F}" name="DAG" dataDxfId="1418">
      <calculatedColumnFormula>PROPER(TEXT(B19, "dddd"))</calculatedColumnFormula>
    </tableColumn>
    <tableColumn id="2" xr3:uid="{F254AACA-EAE8-46B6-A83E-8CA4AACFAC28}" name="DATUM" dataDxfId="1416">
      <calculatedColumnFormula>Torsdag42</calculatedColumnFormula>
    </tableColumn>
    <tableColumn id="3" xr3:uid="{7EEAFFD0-05ED-43C1-B296-DAED513FAB91}" name="Tid1" dataDxfId="1417"/>
    <tableColumn id="4" xr3:uid="{B80ECB5F-55F5-4CAE-B2B5-F7C29F4E2320}" name="TID" dataDxfId="2808"/>
    <tableColumn id="5" xr3:uid="{5909551E-5B8B-4C46-ACE6-E2FF74FC40AD}" name="ANTAL" dataDxfId="2807"/>
    <tableColumn id="6" xr3:uid="{213243BB-629F-4A48-86C2-62010B1C3232}" name="GRUPP/LAG/SKOLA/ETC." dataDxfId="2806"/>
  </tableColumns>
  <tableStyleInfo name="Hallbokningsschema 2" showFirstColumn="0" showLastColumn="0" showRowStripes="0" showColumnStripes="0"/>
</table>
</file>

<file path=xl/tables/table2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243AF7A5-80CD-4E61-9C8E-04ED68270B5C}" name="Tabell538455259808794101108115122" displayName="Tabell538455259808794101108115122" ref="A24:F31" totalsRowShown="0" headerRowDxfId="2805" dataDxfId="2804">
  <autoFilter ref="A24:F3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5:F30">
    <sortCondition ref="C25:C30"/>
  </sortState>
  <tableColumns count="6">
    <tableColumn id="1" xr3:uid="{4A19B518-F0A2-484F-A281-19BE0907ABAB}" name="DAG" dataDxfId="1415">
      <calculatedColumnFormula>PROPER(TEXT(B25, "dddd"))</calculatedColumnFormula>
    </tableColumn>
    <tableColumn id="2" xr3:uid="{DCE0DBA9-6AA1-410E-B963-E784DDE3E3B9}" name="DATUM" dataDxfId="1413">
      <calculatedColumnFormula>Fredag42</calculatedColumnFormula>
    </tableColumn>
    <tableColumn id="3" xr3:uid="{4AE445CA-EA2B-4910-90F4-D094E892F558}" name="Tid1" dataDxfId="1414"/>
    <tableColumn id="4" xr3:uid="{440F6C25-629A-4F4A-818E-2568D40F41DC}" name="TID" dataDxfId="2803"/>
    <tableColumn id="5" xr3:uid="{23B225EB-85B7-4B40-BDF5-7842C4C2BC46}" name="ANTAL" dataDxfId="2802"/>
    <tableColumn id="6" xr3:uid="{F2D52588-6643-48D8-83EF-1F2C99627A55}" name="GRUPP/LAG/SKOLA/ETC." dataDxfId="2801"/>
  </tableColumns>
  <tableStyleInfo name="Hallbokningsschema 2" showFirstColumn="0" showLastColumn="0" showRowStripes="0" showColumnStripes="0"/>
</table>
</file>

<file path=xl/tables/table2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4F8C5BD5-78B4-457E-94B5-B649021B1AE8}" name="Tabell639465360818895102109116123" displayName="Tabell639465360818895102109116123" ref="A32:F35" totalsRowShown="0" headerRowDxfId="2800" dataDxfId="2799">
  <autoFilter ref="A32:F35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85997C3-439A-451E-BC2E-B1B5BC554ED6}" name="DAG" dataDxfId="1412">
      <calculatedColumnFormula>PROPER(TEXT(B33, "dddd"))</calculatedColumnFormula>
    </tableColumn>
    <tableColumn id="2" xr3:uid="{1994BB4D-33CA-401C-AC78-0F1FCDD89514}" name="DATUM" dataDxfId="1410">
      <calculatedColumnFormula>Lördag42</calculatedColumnFormula>
    </tableColumn>
    <tableColumn id="3" xr3:uid="{933D85C8-85B2-49EB-BEE7-1AA6CC30D29A}" name="Tid1" dataDxfId="1411"/>
    <tableColumn id="4" xr3:uid="{2FF88F03-8FC8-4681-8729-877FFADB8E56}" name="TID" dataDxfId="2798"/>
    <tableColumn id="5" xr3:uid="{FA1BE202-FFA1-4E39-8542-713B85FC0829}" name="ANTAL" dataDxfId="2797"/>
    <tableColumn id="6" xr3:uid="{A855027B-7DD3-4CB9-BD7A-486BAEC858CE}" name="GRUPP/LAG/SKOLA/ETC." dataDxfId="2796"/>
  </tableColumns>
  <tableStyleInfo name="Hallbokningsschema 2" showFirstColumn="0" showLastColumn="0" showRowStripes="0" showColumnStripes="0"/>
</table>
</file>

<file path=xl/tables/table2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B0FF5D62-F7D0-4659-9844-0FA5A47498E0}" name="Tabell740475461828996103110117124" displayName="Tabell740475461828996103110117124" ref="A36:F37" totalsRowShown="0" headerRowDxfId="2795" dataDxfId="2794">
  <autoFilter ref="A36:F37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6CC5709-1C2D-4FCD-ADDB-2BACCF7C8FA6}" name="DAG" dataDxfId="1409">
      <calculatedColumnFormula>PROPER(TEXT(B37, "dddd"))</calculatedColumnFormula>
    </tableColumn>
    <tableColumn id="2" xr3:uid="{872EC35C-D7BF-404C-B41B-B8037BE69049}" name="DATUM" dataDxfId="1407">
      <calculatedColumnFormula>Söndag42</calculatedColumnFormula>
    </tableColumn>
    <tableColumn id="3" xr3:uid="{D798E7C0-7087-497E-99BB-3DE06E5C1305}" name="Tid1" dataDxfId="1408"/>
    <tableColumn id="4" xr3:uid="{EAB9AAD4-B017-4329-897E-303F925A27E9}" name="TID" dataDxfId="2793"/>
    <tableColumn id="5" xr3:uid="{F6E29B15-B5D9-4B6A-822F-65B6B16F0672}" name="ANTAL" dataDxfId="2792"/>
    <tableColumn id="6" xr3:uid="{EECE5EE8-F511-419B-B17E-D1BA5867E317}" name="GRUPP/LAG/SKOLA/ETC." dataDxfId="2791"/>
  </tableColumns>
  <tableStyleInfo name="Hallbokningsschema 2" showFirstColumn="0" showLastColumn="0" showRowStripes="0" showColumnStripes="0"/>
</table>
</file>

<file path=xl/tables/table2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13A66E81-BB29-4FA6-8986-EA7613605535}" name="Tabell13441485576839097104111" displayName="Tabell13441485576839097104111" ref="A2:F3" totalsRowShown="0" headerRowDxfId="2790" dataDxfId="2789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3">
    <sortCondition ref="C3"/>
  </sortState>
  <tableColumns count="6">
    <tableColumn id="1" xr3:uid="{E498558F-7E2F-4273-9913-D7FF0997F4AA}" name="DAG" dataDxfId="1406">
      <calculatedColumnFormula>PROPER(TEXT(B3, "dddd"))</calculatedColumnFormula>
    </tableColumn>
    <tableColumn id="2" xr3:uid="{5D433D12-6ACD-4F86-9137-7615C1FBDBB1}" name="DATUM" dataDxfId="1404">
      <calculatedColumnFormula>Måndag43</calculatedColumnFormula>
    </tableColumn>
    <tableColumn id="3" xr3:uid="{2B925992-F529-4FC9-B185-DBE38CBE640C}" name="Tid1" dataDxfId="1405"/>
    <tableColumn id="4" xr3:uid="{A9660E8D-70F5-4CBF-A633-A7F7A7776275}" name="TID" dataDxfId="2788"/>
    <tableColumn id="5" xr3:uid="{137266DF-7AE3-4DB3-B21F-A91C1F74A880}" name="ANTAL" dataDxfId="2787"/>
    <tableColumn id="6" xr3:uid="{F2A23D81-013E-467B-929C-A39AADC71330}" name="GRUPP/LAG/SKOLA/ETC." dataDxfId="2786"/>
  </tableColumns>
  <tableStyleInfo name="Hallbokningsschema 2" showFirstColumn="0" showLastColumn="0" showRowStripes="0" showColumnStripes="0"/>
</table>
</file>

<file path=xl/tables/table2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4A1901C9-36B5-4C44-BD17-F5FB92CB5D0D}" name="Tabell23542495677849198105112" displayName="Tabell23542495677849198105112" ref="A4:F8" totalsRowShown="0" headerRowDxfId="2785" dataDxfId="2784">
  <autoFilter ref="A4:F8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5:F8">
    <sortCondition ref="C5:C8"/>
  </sortState>
  <tableColumns count="6">
    <tableColumn id="1" xr3:uid="{777ED83D-3B45-4E5B-9854-4405BDE37A21}" name="DAG" dataDxfId="1403">
      <calculatedColumnFormula>PROPER(TEXT(B5, "dddd"))</calculatedColumnFormula>
    </tableColumn>
    <tableColumn id="2" xr3:uid="{3B88E201-C67B-4C76-90C6-7CF05E395E94}" name="DATUM" dataDxfId="1401">
      <calculatedColumnFormula>Tisdag43</calculatedColumnFormula>
    </tableColumn>
    <tableColumn id="3" xr3:uid="{F7BCC598-5C96-4D33-8E33-345464BE8A7B}" name="Tid1" dataDxfId="1402"/>
    <tableColumn id="4" xr3:uid="{3E95C4CD-651F-48F2-B15D-095FA3B840B5}" name="TID" dataDxfId="2783"/>
    <tableColumn id="5" xr3:uid="{AD1F9CB7-608B-48B2-8443-342FC1D27AD6}" name="ANTAL" dataDxfId="2782"/>
    <tableColumn id="6" xr3:uid="{EDDC140C-3790-413A-BD05-717636EF1CD4}" name="GRUPP/LAG/SKOLA/ETC." dataDxfId="2781"/>
  </tableColumns>
  <tableStyleInfo name="Hallbokningsschema 2" showFirstColumn="0" showLastColumn="0" showRowStripes="0" showColumnStripes="0"/>
</table>
</file>

<file path=xl/tables/table2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714D8DC1-92A0-4459-B02B-40BEFF4981A1}" name="Tabell33643505778859299106113" displayName="Tabell33643505778859299106113" ref="A9:F20" totalsRowShown="0" headerRowDxfId="2780" dataDxfId="2779">
  <autoFilter ref="A9:F20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0:F18">
    <sortCondition ref="C10:C18"/>
  </sortState>
  <tableColumns count="6">
    <tableColumn id="1" xr3:uid="{58015A3A-2E36-4C1B-BDCE-3C38958BDC3F}" name="DAG" dataDxfId="1400">
      <calculatedColumnFormula>PROPER(TEXT(B10, "dddd"))</calculatedColumnFormula>
    </tableColumn>
    <tableColumn id="2" xr3:uid="{E35A7DDC-6EB1-425E-9CA1-1DDD267D1597}" name="DATUM" dataDxfId="1398">
      <calculatedColumnFormula>Onsdag43</calculatedColumnFormula>
    </tableColumn>
    <tableColumn id="3" xr3:uid="{E3F94D72-F440-468E-87B8-70CB1F9F6D15}" name="Tid1" dataDxfId="1399"/>
    <tableColumn id="4" xr3:uid="{7C80C2BC-29D1-4F8E-A38A-67C97843B739}" name="TID" dataDxfId="2778"/>
    <tableColumn id="5" xr3:uid="{C4D84C9E-7459-41A2-BCA9-12D859066371}" name="ANTAL" dataDxfId="2777"/>
    <tableColumn id="6" xr3:uid="{60773213-CBF2-46E3-96C6-F2CA4BFEB596}" name="GRUPP/LAG/SKOLA/ETC." dataDxfId="2776"/>
  </tableColumns>
  <tableStyleInfo name="Hallbokningsschema 2" showFirstColumn="0" showLastColumn="0" showRowStripes="0" showColumnStripes="0"/>
</table>
</file>

<file path=xl/tables/table2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32D8ED1B-BFB3-431E-ADFC-2CE8CF1E29DC}" name="Tabell437445158798693100107114" displayName="Tabell437445158798693100107114" ref="A21:F28" totalsRowShown="0" headerRowDxfId="2775" dataDxfId="2774">
  <autoFilter ref="A21:F28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2:F27">
    <sortCondition ref="C22:C27"/>
  </sortState>
  <tableColumns count="6">
    <tableColumn id="1" xr3:uid="{D2F1717A-C74E-4228-8054-BBBA8486CBFB}" name="DAG" dataDxfId="1397">
      <calculatedColumnFormula>PROPER(TEXT(B22, "dddd"))</calculatedColumnFormula>
    </tableColumn>
    <tableColumn id="2" xr3:uid="{2D9142B0-92C7-4312-8069-A90803577EAE}" name="DATUM" dataDxfId="1395">
      <calculatedColumnFormula>Torsdag43</calculatedColumnFormula>
    </tableColumn>
    <tableColumn id="3" xr3:uid="{1680CC59-21D7-41EE-B8AF-5D6BBEA6FF69}" name="Tid1" dataDxfId="1396"/>
    <tableColumn id="4" xr3:uid="{CB928500-1CBD-42AA-B09F-2D409A879B66}" name="TID" dataDxfId="2773"/>
    <tableColumn id="5" xr3:uid="{E2B65010-01F9-4870-813C-2FE68008A132}" name="ANTAL" dataDxfId="2772"/>
    <tableColumn id="6" xr3:uid="{0AEB8371-2CC5-4526-9062-E47F16B60F2F}" name="GRUPP/LAG/SKOLA/ETC." dataDxfId="2771"/>
  </tableColumns>
  <tableStyleInfo name="Hallbokningsschema 2" showFirstColumn="0" showLastColumn="0" showRowStripes="0" showColumnStripes="0"/>
</table>
</file>

<file path=xl/tables/table2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738F290F-9AA8-4C6A-BCB6-4D7A4BF49041}" name="Tabell538455259808794101108115" displayName="Tabell538455259808794101108115" ref="A29:F35" totalsRowShown="0" headerRowDxfId="2770" dataDxfId="2769">
  <autoFilter ref="A29:F35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0:F35">
    <sortCondition ref="C30:C35"/>
  </sortState>
  <tableColumns count="6">
    <tableColumn id="1" xr3:uid="{5CD55B65-BF59-43E1-8BE4-936B468C18ED}" name="DAG" dataDxfId="1394">
      <calculatedColumnFormula>PROPER(TEXT(B30, "dddd"))</calculatedColumnFormula>
    </tableColumn>
    <tableColumn id="2" xr3:uid="{9DBCBAAC-1629-4AF7-ABD4-689F29A36260}" name="DATUM" dataDxfId="1392">
      <calculatedColumnFormula>Fredag43</calculatedColumnFormula>
    </tableColumn>
    <tableColumn id="3" xr3:uid="{98AC32B6-1BD5-4AF7-9B5F-DF4EA10EB61B}" name="Tid1" dataDxfId="1393"/>
    <tableColumn id="4" xr3:uid="{5BC84DC5-1D40-48DD-A219-2D8F2AA25810}" name="TID" dataDxfId="2768"/>
    <tableColumn id="5" xr3:uid="{5F40E523-B4AD-4C6A-9960-09CE38EB54E6}" name="ANTAL" dataDxfId="2767"/>
    <tableColumn id="6" xr3:uid="{0800DA16-2032-483A-AF03-F969ACB56187}" name="GRUPP/LAG/SKOLA/ETC." dataDxfId="2766"/>
  </tableColumns>
  <tableStyleInfo name="Hallbokningsschema 2" showFirstColumn="0" showLastColumn="0" showRowStripes="0" showColumnStripes="0"/>
</table>
</file>

<file path=xl/tables/table3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6D1EE8C4-1A07-42CA-9384-A6AF5455586B}" name="Tabell639465360818895102109116" displayName="Tabell639465360818895102109116" ref="A36:F38" totalsRowShown="0" headerRowDxfId="2765" dataDxfId="2764">
  <autoFilter ref="A36:F38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282699D-6255-4930-885E-6B8A865D8313}" name="DAG" dataDxfId="1391">
      <calculatedColumnFormula>PROPER(TEXT(B37, "dddd"))</calculatedColumnFormula>
    </tableColumn>
    <tableColumn id="2" xr3:uid="{37D5CF1A-2D2D-4E93-9B00-B88D2F7264AA}" name="DATUM" dataDxfId="1389">
      <calculatedColumnFormula>Lördag43</calculatedColumnFormula>
    </tableColumn>
    <tableColumn id="3" xr3:uid="{1903FEF3-4885-44EE-9F7A-A416FE47F69B}" name="Tid1" dataDxfId="1390"/>
    <tableColumn id="4" xr3:uid="{1EC37578-7FFA-4ED6-A527-5D2174E42B33}" name="TID" dataDxfId="2763"/>
    <tableColumn id="5" xr3:uid="{F0DC9142-B328-4EF8-83E1-E06E77D12E09}" name="ANTAL" dataDxfId="2762"/>
    <tableColumn id="6" xr3:uid="{3A336A92-BCB1-49A5-8006-0E4E55062651}" name="GRUPP/LAG/SKOLA/ETC." dataDxfId="2761"/>
  </tableColumns>
  <tableStyleInfo name="Hallbokningsschema 2" showFirstColumn="0" showLastColumn="0" showRowStripes="0" showColumnStripes="0"/>
</table>
</file>

<file path=xl/tables/table3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351A96B2-0B79-42F2-B7CA-91F384B0477E}" name="Tabell740475461828996103110117" displayName="Tabell740475461828996103110117" ref="A39:F40" totalsRowShown="0" headerRowDxfId="2760" dataDxfId="2759">
  <autoFilter ref="A39:F40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9571E56-756B-4BF5-8D15-A01CB29A876A}" name="DAG" dataDxfId="1388">
      <calculatedColumnFormula>PROPER(TEXT(B40, "dddd"))</calculatedColumnFormula>
    </tableColumn>
    <tableColumn id="2" xr3:uid="{62858A65-B343-4EF3-957F-0E3C5A5B3CE6}" name="DATUM" dataDxfId="1386">
      <calculatedColumnFormula>Söndag43</calculatedColumnFormula>
    </tableColumn>
    <tableColumn id="3" xr3:uid="{B2DB1D29-FE32-4F0C-AFD7-ADF117CA626A}" name="Tid1" dataDxfId="1387"/>
    <tableColumn id="4" xr3:uid="{757CC8FF-0DF8-4574-8752-9293FEC29718}" name="TID" dataDxfId="2758"/>
    <tableColumn id="5" xr3:uid="{5ABFAF2D-24FC-45A8-B029-424B746A902F}" name="ANTAL" dataDxfId="2757"/>
    <tableColumn id="6" xr3:uid="{72DED061-F72B-44BA-AD2F-80360365B5E2}" name="GRUPP/LAG/SKOLA/ETC." dataDxfId="2756"/>
  </tableColumns>
  <tableStyleInfo name="Hallbokningsschema 2" showFirstColumn="0" showLastColumn="0" showRowStripes="0" showColumnStripes="0"/>
</table>
</file>

<file path=xl/tables/table3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91948EC0-A751-4EC9-A9D1-28397F7D5B36}" name="Tabell13441485576839097104" displayName="Tabell13441485576839097104" ref="A2:F3" totalsRowShown="0" headerRowDxfId="2755" dataDxfId="2754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D13740B-299C-488B-A89D-C45E15D807EF}" name="DAG" dataDxfId="1385">
      <calculatedColumnFormula>PROPER(TEXT(B3, "dddd"))</calculatedColumnFormula>
    </tableColumn>
    <tableColumn id="2" xr3:uid="{C382C51B-CB9E-454C-9FF1-7E1311E071C0}" name="DATUM" dataDxfId="1383">
      <calculatedColumnFormula>Måndag44</calculatedColumnFormula>
    </tableColumn>
    <tableColumn id="3" xr3:uid="{E69F2E80-CAD5-41E7-9BDC-D9B603D8A28A}" name="Tid1" dataDxfId="1384"/>
    <tableColumn id="4" xr3:uid="{E84C9963-C657-4911-A83A-C0B11712764B}" name="TID" dataDxfId="2753"/>
    <tableColumn id="5" xr3:uid="{FC5AF6C3-D465-4807-9852-E2D82F47037F}" name="ANTAL" dataDxfId="2752"/>
    <tableColumn id="6" xr3:uid="{3B4C7995-CFA6-4A72-8D0F-EBC8C019088B}" name="GRUPP/LAG/SKOLA/ETC." dataDxfId="2751"/>
  </tableColumns>
  <tableStyleInfo name="Hallbokningsschema 2" showFirstColumn="0" showLastColumn="0" showRowStripes="0" showColumnStripes="0"/>
</table>
</file>

<file path=xl/tables/table3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1224CEF5-2089-42E5-8C21-3B10A0A5A952}" name="Tabell23542495677849198105" displayName="Tabell23542495677849198105" ref="A4:F7" totalsRowShown="0" headerRowDxfId="2750" dataDxfId="2749">
  <autoFilter ref="A4:F7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5:F7">
    <sortCondition ref="C5:C7"/>
  </sortState>
  <tableColumns count="6">
    <tableColumn id="1" xr3:uid="{7302359F-9B69-44B9-980D-CDB5CDCB1783}" name="DAG" dataDxfId="1382">
      <calculatedColumnFormula>PROPER(TEXT(B5, "dddd"))</calculatedColumnFormula>
    </tableColumn>
    <tableColumn id="2" xr3:uid="{60FA0081-485E-4428-86EA-8DD9DD78675B}" name="DATUM" dataDxfId="1380">
      <calculatedColumnFormula>Tisdag44</calculatedColumnFormula>
    </tableColumn>
    <tableColumn id="3" xr3:uid="{93BD82A2-D8D2-44E4-B77A-90A66AB12457}" name="Tid1" dataDxfId="1381"/>
    <tableColumn id="4" xr3:uid="{EB746EC7-D20A-4764-9CB9-6CCEB9B8A019}" name="TID" dataDxfId="2748"/>
    <tableColumn id="5" xr3:uid="{C2BAB589-116A-4220-A9E8-751EF436A466}" name="ANTAL" dataDxfId="2747"/>
    <tableColumn id="6" xr3:uid="{C233A832-9DA8-44EA-A2AD-48B090BB8C94}" name="GRUPP/LAG/SKOLA/ETC." dataDxfId="2746"/>
  </tableColumns>
  <tableStyleInfo name="Hallbokningsschema 2" showFirstColumn="0" showLastColumn="0" showRowStripes="0" showColumnStripes="0"/>
</table>
</file>

<file path=xl/tables/table3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610CF26C-6E56-402E-8964-8FC49675B417}" name="Tabell33643505778859299106" displayName="Tabell33643505778859299106" ref="A8:F13" totalsRowShown="0" headerRowDxfId="2745" dataDxfId="2744">
  <autoFilter ref="A8:F13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9:F13">
    <sortCondition ref="C9:C13"/>
  </sortState>
  <tableColumns count="6">
    <tableColumn id="1" xr3:uid="{320FA989-9BAE-482B-9B7B-BD6523DC5823}" name="DAG" dataDxfId="1379">
      <calculatedColumnFormula>PROPER(TEXT(B9, "dddd"))</calculatedColumnFormula>
    </tableColumn>
    <tableColumn id="2" xr3:uid="{17217898-7B50-4D8D-B56B-4A5D1B21AF50}" name="DATUM" dataDxfId="1377">
      <calculatedColumnFormula>Onsdag44</calculatedColumnFormula>
    </tableColumn>
    <tableColumn id="3" xr3:uid="{4B8F361C-7C32-4B03-B80B-BB46BE0604B6}" name="Tid1" dataDxfId="1378"/>
    <tableColumn id="4" xr3:uid="{DEEFB6FA-444C-43BD-8049-707EE2F60EE8}" name="TID" dataDxfId="2743"/>
    <tableColumn id="5" xr3:uid="{1F57913B-D194-4E88-9008-D903F0A01DAD}" name="ANTAL" dataDxfId="2742"/>
    <tableColumn id="6" xr3:uid="{1CF565E9-65DD-47A4-878F-A68229C46A3A}" name="GRUPP/LAG/SKOLA/ETC." dataDxfId="2741"/>
  </tableColumns>
  <tableStyleInfo name="Hallbokningsschema 2" showFirstColumn="0" showLastColumn="0" showRowStripes="0" showColumnStripes="0"/>
</table>
</file>

<file path=xl/tables/table3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7294FF7F-791D-4FFE-845C-369716AB4E99}" name="Tabell437445158798693100107" displayName="Tabell437445158798693100107" ref="A14:F18" totalsRowShown="0" headerRowDxfId="2740" dataDxfId="2739">
  <autoFilter ref="A14:F18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40400B8-F5AF-496A-A30D-BF2CFAA0EAFB}" name="DAG" dataDxfId="1376">
      <calculatedColumnFormula>PROPER(TEXT(B15, "dddd"))</calculatedColumnFormula>
    </tableColumn>
    <tableColumn id="2" xr3:uid="{ACB1F793-4CDC-499C-9D65-F70318F32A8B}" name="DATUM" dataDxfId="1374">
      <calculatedColumnFormula>Torsdag44</calculatedColumnFormula>
    </tableColumn>
    <tableColumn id="3" xr3:uid="{D83E6FF9-FA88-4822-BA8F-FAA4A5341217}" name="Tid1" dataDxfId="1375"/>
    <tableColumn id="4" xr3:uid="{7696963B-FFF8-45A2-84AC-9D4203699779}" name="TID" dataDxfId="2738"/>
    <tableColumn id="5" xr3:uid="{FB706834-EE08-4184-9780-5EB58D683947}" name="ANTAL" dataDxfId="2737"/>
    <tableColumn id="6" xr3:uid="{E8D80B15-06C1-47F5-9617-B69D24DE2DAE}" name="GRUPP/LAG/SKOLA/ETC." dataDxfId="2736"/>
  </tableColumns>
  <tableStyleInfo name="Hallbokningsschema 2" showFirstColumn="0" showLastColumn="0" showRowStripes="0" showColumnStripes="0"/>
</table>
</file>

<file path=xl/tables/table3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E5CB4212-FB19-4786-AD80-3C56A90B4ECD}" name="Tabell538455259808794101108" displayName="Tabell538455259808794101108" ref="A19:F24" totalsRowShown="0" headerRowDxfId="2735" dataDxfId="2734">
  <autoFilter ref="A19:F24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A611858-ECCD-40D3-9765-A74F5FDA8F9F}" name="DAG" dataDxfId="1373">
      <calculatedColumnFormula>PROPER(TEXT(B20, "dddd"))</calculatedColumnFormula>
    </tableColumn>
    <tableColumn id="2" xr3:uid="{004974ED-DDA2-4EF9-9894-7FC0734B07A6}" name="DATUM" dataDxfId="1371">
      <calculatedColumnFormula>Fredag44</calculatedColumnFormula>
    </tableColumn>
    <tableColumn id="3" xr3:uid="{C4178B93-7B97-4598-9BC6-4865720E10EF}" name="Tid1" dataDxfId="1372"/>
    <tableColumn id="4" xr3:uid="{AB775069-1453-4F35-8286-AE74D9FD2EEE}" name="TID" dataDxfId="2733"/>
    <tableColumn id="5" xr3:uid="{2B4F60DC-ADAD-4113-BC62-A4E93C5E9D2F}" name="ANTAL" dataDxfId="2732"/>
    <tableColumn id="6" xr3:uid="{8C407EA3-4EF0-4E34-A0AA-74BCF01FA19A}" name="GRUPP/LAG/SKOLA/ETC." dataDxfId="2731"/>
  </tableColumns>
  <tableStyleInfo name="Hallbokningsschema 2" showFirstColumn="0" showLastColumn="0" showRowStripes="0" showColumnStripes="0"/>
</table>
</file>

<file path=xl/tables/table3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15890E06-9B8C-4386-83E9-C7BAD8576821}" name="Tabell639465360818895102109" displayName="Tabell639465360818895102109" ref="A25:F27" totalsRowShown="0" headerRowDxfId="2730" dataDxfId="2729">
  <autoFilter ref="A25:F27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C26D8B0-4741-46A9-B877-F4F731D0FBDF}" name="DAG" dataDxfId="1370">
      <calculatedColumnFormula>PROPER(TEXT(B26, "dddd"))</calculatedColumnFormula>
    </tableColumn>
    <tableColumn id="2" xr3:uid="{6E680666-00B2-4E77-A129-A6032E20081A}" name="DATUM" dataDxfId="1368">
      <calculatedColumnFormula>Lördag44</calculatedColumnFormula>
    </tableColumn>
    <tableColumn id="3" xr3:uid="{F9C37017-F6AF-486B-8558-586442230CD2}" name="Tid1" dataDxfId="1369"/>
    <tableColumn id="4" xr3:uid="{AE28D8E8-D8EE-49A8-8740-725F48C87CD5}" name="TID" dataDxfId="2728"/>
    <tableColumn id="5" xr3:uid="{4D1FD033-4B31-4FC8-9B8D-3CD51B211756}" name="ANTAL" dataDxfId="2727"/>
    <tableColumn id="6" xr3:uid="{EA27C80E-0317-4FC6-9175-F8DEA2DC02DB}" name="GRUPP/LAG/SKOLA/ETC." dataDxfId="2726"/>
  </tableColumns>
  <tableStyleInfo name="Hallbokningsschema 2" showFirstColumn="0" showLastColumn="0" showRowStripes="0" showColumnStripes="0"/>
</table>
</file>

<file path=xl/tables/table3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6491F961-4095-4E68-909A-9C1965B85A9E}" name="Tabell740475461828996103110" displayName="Tabell740475461828996103110" ref="A28:F29" totalsRowShown="0" headerRowDxfId="2725" dataDxfId="2724">
  <autoFilter ref="A28:F29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DCFD016-07F6-432B-AD11-D12DD1B790F7}" name="DAG" dataDxfId="1367">
      <calculatedColumnFormula>PROPER(TEXT(B29, "dddd"))</calculatedColumnFormula>
    </tableColumn>
    <tableColumn id="2" xr3:uid="{FF359C1E-73D5-4397-BAC8-05729E06CEF6}" name="DATUM" dataDxfId="1365">
      <calculatedColumnFormula>Söndag44</calculatedColumnFormula>
    </tableColumn>
    <tableColumn id="3" xr3:uid="{D42D3588-CF57-48C7-87A8-678D22554EBC}" name="Tid1" dataDxfId="1366"/>
    <tableColumn id="4" xr3:uid="{09D219A9-12D3-4C66-B479-8F2C87874228}" name="TID" dataDxfId="2723"/>
    <tableColumn id="5" xr3:uid="{BDDBA333-8CEA-4966-ADB6-A01F73ECD6F4}" name="ANTAL" dataDxfId="2722"/>
    <tableColumn id="6" xr3:uid="{656F3FB2-B400-4968-AD18-EBA39D5271A4}" name="GRUPP/LAG/SKOLA/ETC." dataDxfId="2721"/>
  </tableColumns>
  <tableStyleInfo name="Hallbokningsschema 2" showFirstColumn="0" showLastColumn="0" showRowStripes="0" showColumnStripes="0"/>
</table>
</file>

<file path=xl/tables/table3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5915F0C2-E076-4C27-B51B-BB67A0648B3D}" name="Tabell13441485576839097" displayName="Tabell13441485576839097" ref="A2:F4" totalsRowShown="0" headerRowDxfId="2720" dataDxfId="2719">
  <autoFilter ref="A2:F4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C748BB3-D600-4892-82B7-56E64B1FFFAB}" name="DAG" dataDxfId="1364">
      <calculatedColumnFormula>PROPER(TEXT(B3, "dddd"))</calculatedColumnFormula>
    </tableColumn>
    <tableColumn id="2" xr3:uid="{36083E22-1D30-485B-A520-934055C18CF9}" name="DATUM" dataDxfId="1362">
      <calculatedColumnFormula>Måndag45</calculatedColumnFormula>
    </tableColumn>
    <tableColumn id="3" xr3:uid="{482F18DE-43DA-4945-B0DC-BD87037473F6}" name="Tid1" dataDxfId="1363"/>
    <tableColumn id="4" xr3:uid="{24F6DF99-13B6-4209-8C92-6BD64BA2896E}" name="TID" dataDxfId="2718"/>
    <tableColumn id="5" xr3:uid="{E55E3BA7-A1C0-46EC-802E-05DAB6C03109}" name="ANTAL" dataDxfId="2717"/>
    <tableColumn id="6" xr3:uid="{B554B2A5-538C-4BCF-8692-7C3872BD7ADE}" name="GRUPP/LAG/SKOLA/ETC." dataDxfId="2716"/>
  </tableColumns>
  <tableStyleInfo name="Hallbokningsschema 2" showFirstColumn="0" showLastColumn="0" showRowStripes="0" showColumnStripes="0"/>
</table>
</file>

<file path=xl/tables/table3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2FD71184-4917-43F2-B16F-D1ECEE89DB5F}" name="Tabell23542495677849198" displayName="Tabell23542495677849198" ref="A5:F10" totalsRowShown="0" headerRowDxfId="2715" dataDxfId="2714">
  <autoFilter ref="A5:F10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6:F10">
    <sortCondition ref="C6:C10"/>
  </sortState>
  <tableColumns count="6">
    <tableColumn id="1" xr3:uid="{F937188D-A922-45F4-BEA1-AFD4982764F8}" name="DAG" dataDxfId="1361">
      <calculatedColumnFormula>PROPER(TEXT(B6, "dddd"))</calculatedColumnFormula>
    </tableColumn>
    <tableColumn id="2" xr3:uid="{7A64AA5E-3068-4E0B-A0F6-291A235E98F1}" name="DATUM" dataDxfId="1359">
      <calculatedColumnFormula>Tisdag45</calculatedColumnFormula>
    </tableColumn>
    <tableColumn id="3" xr3:uid="{AF940E6B-F53D-49C3-9F62-E3C5D086116E}" name="Tid1" dataDxfId="1360"/>
    <tableColumn id="4" xr3:uid="{DFED3CC9-7503-4791-97F8-3A26E0D70B7D}" name="TID" dataDxfId="2713"/>
    <tableColumn id="5" xr3:uid="{D75EEFCD-7576-4790-A497-28151FC5095D}" name="ANTAL" dataDxfId="2712"/>
    <tableColumn id="6" xr3:uid="{2389F3FB-665A-4AE3-99D0-C804697EDBC6}" name="GRUPP/LAG/SKOLA/ETC." dataDxfId="2711"/>
  </tableColumns>
  <tableStyleInfo name="Hallbokningsschema 2" showFirstColumn="0" showLastColumn="0" showRowStripes="0" showColumnStripes="0"/>
</table>
</file>

<file path=xl/tables/table3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427D1C74-508E-4186-8021-8CD0E077342A}" name="Tabell33643505778859299" displayName="Tabell33643505778859299" ref="A11:F20" totalsRowShown="0" headerRowDxfId="2710" dataDxfId="2709">
  <autoFilter ref="A11:F20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2:F20">
    <sortCondition ref="C12:C20"/>
  </sortState>
  <tableColumns count="6">
    <tableColumn id="1" xr3:uid="{8D7CF545-7E58-405A-BB65-0CB89B33C50B}" name="DAG" dataDxfId="1358">
      <calculatedColumnFormula>PROPER(TEXT(B12, "dddd"))</calculatedColumnFormula>
    </tableColumn>
    <tableColumn id="2" xr3:uid="{21CB94D1-25CC-479A-A239-459D5E7BEE58}" name="DATUM" dataDxfId="1356">
      <calculatedColumnFormula>Onsdag45</calculatedColumnFormula>
    </tableColumn>
    <tableColumn id="3" xr3:uid="{B5A53DE8-2187-4290-A7E7-0091DD7A2886}" name="Tid1" dataDxfId="1357"/>
    <tableColumn id="4" xr3:uid="{1C473AA3-57A0-4E10-AD6E-00F863C99AF8}" name="TID" dataDxfId="2708"/>
    <tableColumn id="5" xr3:uid="{52C5CE70-793A-4EAD-B4AB-33773CA1C057}" name="ANTAL" dataDxfId="2707"/>
    <tableColumn id="6" xr3:uid="{CCE0B119-CDF5-487B-8B0B-51C9CE2CE4ED}" name="GRUPP/LAG/SKOLA/ETC." dataDxfId="2706"/>
  </tableColumns>
  <tableStyleInfo name="Hallbokningsschema 2" showFirstColumn="0" showLastColumn="0" showRowStripes="0" showColumnStripes="0"/>
</table>
</file>

<file path=xl/tables/table3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B75F6405-37ED-4B7B-A9ED-6E87F79DC9D2}" name="Tabell437445158798693100" displayName="Tabell437445158798693100" ref="A21:F26" totalsRowShown="0" headerRowDxfId="2705" dataDxfId="2704">
  <autoFilter ref="A21:F26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2BCFE96-4EC7-4144-9DEB-708FD53697D3}" name="DAG" dataDxfId="1355">
      <calculatedColumnFormula>PROPER(TEXT(B22, "dddd"))</calculatedColumnFormula>
    </tableColumn>
    <tableColumn id="2" xr3:uid="{B31BBF90-01AE-4817-B0C7-2493DCF94CAF}" name="DATUM" dataDxfId="1353">
      <calculatedColumnFormula>Torsdag45</calculatedColumnFormula>
    </tableColumn>
    <tableColumn id="3" xr3:uid="{F115DFCE-85B6-4E6A-8673-9135E0C04771}" name="Tid1" dataDxfId="1354"/>
    <tableColumn id="4" xr3:uid="{2E459E00-6507-429B-92F8-8564C3E66AA3}" name="TID" dataDxfId="2703"/>
    <tableColumn id="5" xr3:uid="{7FE4E18A-E240-47C9-9316-66058B922969}" name="ANTAL" dataDxfId="2702"/>
    <tableColumn id="6" xr3:uid="{EE129587-B7D8-4E39-ABAC-22E1B9061E49}" name="GRUPP/LAG/SKOLA/ETC." dataDxfId="2701"/>
  </tableColumns>
  <tableStyleInfo name="Hallbokningsschema 2" showFirstColumn="0" showLastColumn="0" showRowStripes="0" showColumnStripes="0"/>
</table>
</file>

<file path=xl/tables/table3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85CCC9B6-A153-4B72-B19F-610A28351975}" name="Tabell538455259808794101" displayName="Tabell538455259808794101" ref="A27:F32" totalsRowShown="0" headerRowDxfId="2700" dataDxfId="2699">
  <autoFilter ref="A27:F32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A2AF075-BD86-42D6-A75F-DDB3766CCF19}" name="DAG" dataDxfId="1352">
      <calculatedColumnFormula>PROPER(TEXT(B28, "dddd"))</calculatedColumnFormula>
    </tableColumn>
    <tableColumn id="2" xr3:uid="{8C6CC991-5127-4FD4-A45B-0980F6ABB5BD}" name="DATUM" dataDxfId="1350">
      <calculatedColumnFormula>Fredag45</calculatedColumnFormula>
    </tableColumn>
    <tableColumn id="3" xr3:uid="{5AD84FA4-F456-43D6-B35F-892389C9E10F}" name="Tid1" dataDxfId="1351"/>
    <tableColumn id="4" xr3:uid="{2B89341A-A492-4181-865A-58164CF9A163}" name="TID" dataDxfId="2698"/>
    <tableColumn id="5" xr3:uid="{A44BAE9B-45A7-4470-B22D-6B029C78824F}" name="ANTAL" dataDxfId="2697"/>
    <tableColumn id="6" xr3:uid="{3D4842DC-C2B0-492A-A1DA-48C0B43ED71F}" name="GRUPP/LAG/SKOLA/ETC." dataDxfId="2696"/>
  </tableColumns>
  <tableStyleInfo name="Hallbokningsschema 2" showFirstColumn="0" showLastColumn="0" showRowStripes="0" showColumnStripes="0"/>
</table>
</file>

<file path=xl/tables/table3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C1665374-025C-455D-960A-DE45C18F3E11}" name="Tabell639465360818895102" displayName="Tabell639465360818895102" ref="A33:F37" totalsRowShown="0" headerRowDxfId="2695" dataDxfId="2694">
  <autoFilter ref="A33:F37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4:F37">
    <sortCondition ref="C34:C37"/>
  </sortState>
  <tableColumns count="6">
    <tableColumn id="1" xr3:uid="{8F949802-D3A9-4002-8584-9736D5916AB4}" name="DAG" dataDxfId="1349">
      <calculatedColumnFormula>PROPER(TEXT(B34, "dddd"))</calculatedColumnFormula>
    </tableColumn>
    <tableColumn id="2" xr3:uid="{16EF592F-B7C2-4E4B-BE29-72D86ECF7347}" name="DATUM" dataDxfId="1347">
      <calculatedColumnFormula>Lördag45</calculatedColumnFormula>
    </tableColumn>
    <tableColumn id="3" xr3:uid="{C477B1FA-2A9A-4467-B80B-2A11428BC4D4}" name="Tid1" dataDxfId="1348"/>
    <tableColumn id="4" xr3:uid="{145743DE-B0F0-49A3-A94A-9897D372617C}" name="TID" dataDxfId="2693"/>
    <tableColumn id="5" xr3:uid="{6C189433-B8C5-4316-8CE3-B1C3FC4B5C10}" name="ANTAL" dataDxfId="2692"/>
    <tableColumn id="6" xr3:uid="{7B31C6D3-25F0-4032-8020-9EE190E82575}" name="GRUPP/LAG/SKOLA/ETC." dataDxfId="2691"/>
  </tableColumns>
  <tableStyleInfo name="Hallbokningsschema 2" showFirstColumn="0" showLastColumn="0" showRowStripes="0" showColumnStripes="0"/>
</table>
</file>

<file path=xl/tables/table3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95FBC630-38BA-48D0-90E1-A79F9A9FDF31}" name="Tabell740475461828996103" displayName="Tabell740475461828996103" ref="A38:F41" totalsRowShown="0" headerRowDxfId="2690" dataDxfId="2689">
  <autoFilter ref="A38:F41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9:F41">
    <sortCondition ref="C39:C41"/>
  </sortState>
  <tableColumns count="6">
    <tableColumn id="1" xr3:uid="{DD3D8C2A-7DAB-44DB-BAA6-87951CC1A46C}" name="DAG" dataDxfId="1346">
      <calculatedColumnFormula>PROPER(TEXT(B39, "dddd"))</calculatedColumnFormula>
    </tableColumn>
    <tableColumn id="2" xr3:uid="{88FE9E91-5978-4586-9208-DCC07DEAB884}" name="DATUM" dataDxfId="1344">
      <calculatedColumnFormula>Söndag45</calculatedColumnFormula>
    </tableColumn>
    <tableColumn id="3" xr3:uid="{7D2BC037-A83D-4701-84DC-3EB6BA598FD3}" name="Tid1" dataDxfId="1345"/>
    <tableColumn id="4" xr3:uid="{5E193E46-0CB4-489F-8200-0AA0BFEC48F5}" name="TID" dataDxfId="2688"/>
    <tableColumn id="5" xr3:uid="{8FBDEE50-68B3-419B-927B-3A350D2F57E7}" name="ANTAL" dataDxfId="2687"/>
    <tableColumn id="6" xr3:uid="{E87054A8-B546-4EAD-B879-EDAEA1148154}" name="GRUPP/LAG/SKOLA/ETC." dataDxfId="2686"/>
  </tableColumns>
  <tableStyleInfo name="Hallbokningsschema 2" showFirstColumn="0" showLastColumn="0" showRowStripes="0" showColumnStripes="0"/>
</table>
</file>

<file path=xl/tables/table3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E0B95CC0-3C04-4ED1-A209-BB90D5E124EB}" name="Tabell134414855768390" displayName="Tabell134414855768390" ref="A2:F3" totalsRowShown="0" headerRowDxfId="2685" dataDxfId="2684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5309597-EFC7-4B70-956D-F64024D33900}" name="DAG" dataDxfId="1343">
      <calculatedColumnFormula>PROPER(TEXT(B3, "dddd"))</calculatedColumnFormula>
    </tableColumn>
    <tableColumn id="2" xr3:uid="{07739692-68C8-481B-B1CB-4052316A5948}" name="DATUM" dataDxfId="1341">
      <calculatedColumnFormula>Måndag46</calculatedColumnFormula>
    </tableColumn>
    <tableColumn id="3" xr3:uid="{95CE04E8-B063-45CB-87A7-CF3BC97D6C7C}" name="Tid1" dataDxfId="1342"/>
    <tableColumn id="4" xr3:uid="{714DD133-F843-4803-938C-EB88D134EFC3}" name="TID" dataDxfId="2683"/>
    <tableColumn id="5" xr3:uid="{AB42F039-5279-484B-AAEE-EC82246C474C}" name="ANTAL" dataDxfId="2682"/>
    <tableColumn id="6" xr3:uid="{5ED25FD7-58A5-4693-9983-6197E639D6D8}" name="GRUPP/LAG/SKOLA/ETC." dataDxfId="2681"/>
  </tableColumns>
  <tableStyleInfo name="Hallbokningsschema 2" showFirstColumn="0" showLastColumn="0" showRowStripes="0" showColumnStripes="0"/>
</table>
</file>

<file path=xl/tables/table3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387DFA76-B04B-41CF-80DC-DE3F1493BA22}" name="Tabell235424956778491" displayName="Tabell235424956778491" ref="A4:F7" totalsRowShown="0" headerRowDxfId="2680" dataDxfId="2679">
  <autoFilter ref="A4:F7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5:F7">
    <sortCondition ref="C5:C7"/>
  </sortState>
  <tableColumns count="6">
    <tableColumn id="1" xr3:uid="{87562725-6892-4206-82CD-852507CE0EEC}" name="DAG" dataDxfId="1340">
      <calculatedColumnFormula>PROPER(TEXT(B5, "dddd"))</calculatedColumnFormula>
    </tableColumn>
    <tableColumn id="2" xr3:uid="{E7922D39-0DB3-4E01-A2DD-EABF10585EBF}" name="DATUM" dataDxfId="1338">
      <calculatedColumnFormula>Tisdag46</calculatedColumnFormula>
    </tableColumn>
    <tableColumn id="3" xr3:uid="{31C1726F-915A-489B-95C0-F37477E1B197}" name="Tid1" dataDxfId="1339"/>
    <tableColumn id="4" xr3:uid="{544CB2D4-8D0A-478F-9965-CB30E83B9C87}" name="TID" dataDxfId="2678"/>
    <tableColumn id="5" xr3:uid="{28563C5B-40EB-43DE-9C7B-0038F83E0D9B}" name="ANTAL" dataDxfId="2677"/>
    <tableColumn id="6" xr3:uid="{C9144E1B-6B3A-4139-9CE4-B0213D9C47BD}" name="GRUPP/LAG/SKOLA/ETC." dataDxfId="2676"/>
  </tableColumns>
  <tableStyleInfo name="Hallbokningsschema 2" showFirstColumn="0" showLastColumn="0" showRowStripes="0" showColumnStripes="0"/>
</table>
</file>

<file path=xl/tables/table3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3A0675F3-4CC6-4579-A09A-C13F4E057240}" name="Tabell336435057788592" displayName="Tabell336435057788592" ref="A8:F13" totalsRowShown="0" headerRowDxfId="2675" dataDxfId="2674">
  <autoFilter ref="A8:F13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9:F13">
    <sortCondition ref="C9:C13"/>
  </sortState>
  <tableColumns count="6">
    <tableColumn id="1" xr3:uid="{912B69C4-594D-4812-BB07-CD7A56D180C0}" name="DAG" dataDxfId="1337">
      <calculatedColumnFormula>PROPER(TEXT(B9, "dddd"))</calculatedColumnFormula>
    </tableColumn>
    <tableColumn id="2" xr3:uid="{3C0E8E78-FC30-49CA-A16E-BC817ABBE308}" name="DATUM" dataDxfId="1335">
      <calculatedColumnFormula>Onsdag46</calculatedColumnFormula>
    </tableColumn>
    <tableColumn id="3" xr3:uid="{1F7436F1-79E0-4EA5-AA9F-7F2ED63F8E0D}" name="Tid1" dataDxfId="1336"/>
    <tableColumn id="4" xr3:uid="{D92E694C-6C9C-4729-BC42-2628EBD73B50}" name="TID" dataDxfId="2673"/>
    <tableColumn id="5" xr3:uid="{AEF68DF0-5158-4DEB-B2A1-809FD0B3B23F}" name="ANTAL" dataDxfId="2672"/>
    <tableColumn id="6" xr3:uid="{91675E42-558E-4123-95C3-A9F954A05F4D}" name="GRUPP/LAG/SKOLA/ETC." dataDxfId="2671"/>
  </tableColumns>
  <tableStyleInfo name="Hallbokningsschema 2" showFirstColumn="0" showLastColumn="0" showRowStripes="0" showColumnStripes="0"/>
</table>
</file>

<file path=xl/tables/table3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175E1455-1A69-4008-A806-C6D3A7D7B31B}" name="Tabell437445158798693" displayName="Tabell437445158798693" ref="A14:F19" totalsRowShown="0" headerRowDxfId="2670" dataDxfId="2669">
  <autoFilter ref="A14:F1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BDF5F70-E589-4269-B05B-E2D5492A1231}" name="DAG" dataDxfId="1334">
      <calculatedColumnFormula>PROPER(TEXT(B15, "dddd"))</calculatedColumnFormula>
    </tableColumn>
    <tableColumn id="2" xr3:uid="{FF1EF382-4389-4885-8B29-84D2851029A9}" name="DATUM" dataDxfId="1332">
      <calculatedColumnFormula>Torsdag46</calculatedColumnFormula>
    </tableColumn>
    <tableColumn id="3" xr3:uid="{3CF3946E-3A5C-48ED-940E-A5B2DB3CC74C}" name="Tid1" dataDxfId="1333"/>
    <tableColumn id="4" xr3:uid="{B4277CB3-BC2A-490C-BB32-1CD74121129B}" name="TID" dataDxfId="2668"/>
    <tableColumn id="5" xr3:uid="{F51FB3C4-EF49-44B7-8C27-FB3EE94C6DC0}" name="ANTAL" dataDxfId="2667"/>
    <tableColumn id="6" xr3:uid="{977A7374-AEE0-4F45-A1D4-35C9B4F2C9AA}" name="GRUPP/LAG/SKOLA/ETC." dataDxfId="2666"/>
  </tableColumns>
  <tableStyleInfo name="Hallbokningsschema 2" showFirstColumn="0" showLastColumn="0" showRowStripes="0" showColumnStripes="0"/>
</table>
</file>

<file path=xl/tables/table3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403AF610-5551-4374-B41E-864AF30ADF5D}" name="Tabell538455259808794" displayName="Tabell538455259808794" ref="A20:F25" totalsRowShown="0" headerRowDxfId="2665" dataDxfId="2664">
  <autoFilter ref="A20:F25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A41152F-16FD-4ED7-85FD-0ABD3A1C51DF}" name="DAG" dataDxfId="1331">
      <calculatedColumnFormula>PROPER(TEXT(B21, "dddd"))</calculatedColumnFormula>
    </tableColumn>
    <tableColumn id="2" xr3:uid="{7E3178D9-3077-4CD3-B55F-1AB63453621F}" name="DATUM" dataDxfId="1329">
      <calculatedColumnFormula>Fredag46</calculatedColumnFormula>
    </tableColumn>
    <tableColumn id="3" xr3:uid="{D002F170-1E86-4138-A4B1-4D3379C1D92D}" name="Tid1" dataDxfId="1330"/>
    <tableColumn id="4" xr3:uid="{4ACE7742-3BA6-4FD6-9470-137161D37232}" name="TID" dataDxfId="2663"/>
    <tableColumn id="5" xr3:uid="{05A1E6BE-EC14-45F0-ADC3-D3E8FBEFA5AE}" name="ANTAL" dataDxfId="2662"/>
    <tableColumn id="6" xr3:uid="{125F2803-A653-4CF9-89DA-581E7543F945}" name="GRUPP/LAG/SKOLA/ETC." dataDxfId="2661"/>
  </tableColumns>
  <tableStyleInfo name="Hallbokningsschema 2" showFirstColumn="0" showLastColumn="0" showRowStripes="0" showColumnStripes="0"/>
</table>
</file>

<file path=xl/tables/table3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AC6C7DC5-5F69-4F44-869A-47C60FF4718D}" name="Tabell639465360818895" displayName="Tabell639465360818895" ref="A26:F28" totalsRowShown="0" headerRowDxfId="2660" dataDxfId="2659">
  <autoFilter ref="A26:F28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F6FC878-E3D5-4512-8871-21574DF3D11C}" name="DAG" dataDxfId="1328">
      <calculatedColumnFormula>PROPER(TEXT(B27, "dddd"))</calculatedColumnFormula>
    </tableColumn>
    <tableColumn id="2" xr3:uid="{142D4E95-4DB9-4D75-B507-C48F011A9619}" name="DATUM" dataDxfId="1326">
      <calculatedColumnFormula>Lördag46</calculatedColumnFormula>
    </tableColumn>
    <tableColumn id="3" xr3:uid="{85C7EF87-9EE5-4371-B70A-2AC6CF182C48}" name="Tid1" dataDxfId="1327"/>
    <tableColumn id="4" xr3:uid="{143A348E-75EF-43FF-A6B4-24C41503897D}" name="TID" dataDxfId="2658"/>
    <tableColumn id="5" xr3:uid="{186B0323-1D18-4E52-97F8-D89AB2C8C87D}" name="ANTAL" dataDxfId="2657"/>
    <tableColumn id="6" xr3:uid="{AF1D2D19-E012-457F-83CD-A16B218155D5}" name="GRUPP/LAG/SKOLA/ETC." dataDxfId="2656"/>
  </tableColumns>
  <tableStyleInfo name="Hallbokningsschema 2" showFirstColumn="0" showLastColumn="0" showRowStripes="0" showColumnStripes="0"/>
</table>
</file>

<file path=xl/tables/table3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AD1DB3F9-CE4B-47D5-A765-906ADCC01B70}" name="Tabell740475461828996" displayName="Tabell740475461828996" ref="A29:F31" totalsRowShown="0" headerRowDxfId="2655" dataDxfId="2654">
  <autoFilter ref="A29:F31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126AB6E-C01E-473A-9F5B-43AB0FE35166}" name="DAG" dataDxfId="1325">
      <calculatedColumnFormula>PROPER(TEXT(B30, "dddd"))</calculatedColumnFormula>
    </tableColumn>
    <tableColumn id="2" xr3:uid="{F1E253DC-C2EF-46A1-AB36-8AB687DF476B}" name="DATUM" dataDxfId="1323">
      <calculatedColumnFormula>Söndag46</calculatedColumnFormula>
    </tableColumn>
    <tableColumn id="3" xr3:uid="{4A35F7EB-6AAA-44BE-958C-68E0E1BAB170}" name="Tid1" dataDxfId="1324"/>
    <tableColumn id="4" xr3:uid="{18BF313B-F4D1-46F0-83AD-880B46AF12C2}" name="TID" dataDxfId="2653"/>
    <tableColumn id="5" xr3:uid="{FEA11A8C-D4F1-4C3B-9463-26A0AD68D2F0}" name="ANTAL" dataDxfId="2652"/>
    <tableColumn id="6" xr3:uid="{63146A23-AE37-4DAC-B486-7BE4A85FB7BB}" name="GRUPP/LAG/SKOLA/ETC." dataDxfId="2651"/>
  </tableColumns>
  <tableStyleInfo name="Hallbokningsschema 2" showFirstColumn="0" showLastColumn="0" showRowStripes="0" showColumnStripes="0"/>
</table>
</file>

<file path=xl/tables/table3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C9C0DC9C-E9CE-4CBD-ABD5-7A759A30E89C}" name="Tabell1344148557683" displayName="Tabell1344148557683" ref="A2:F4" totalsRowShown="0" headerRowDxfId="2650" dataDxfId="2649">
  <autoFilter ref="A2:F4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4">
    <sortCondition ref="C3:C4"/>
  </sortState>
  <tableColumns count="6">
    <tableColumn id="1" xr3:uid="{EAB5A3A6-F268-4F1E-8625-F196CFCC2BCF}" name="DAG" dataDxfId="1322">
      <calculatedColumnFormula>PROPER(TEXT(B3, "dddd"))</calculatedColumnFormula>
    </tableColumn>
    <tableColumn id="2" xr3:uid="{83EEE0CA-E303-49C5-9F9E-7D2B223E66B3}" name="DATUM" dataDxfId="1320">
      <calculatedColumnFormula>Måndag47</calculatedColumnFormula>
    </tableColumn>
    <tableColumn id="3" xr3:uid="{D02594BD-4D7F-4966-964A-09380197B5B9}" name="Tid1" dataDxfId="1321"/>
    <tableColumn id="4" xr3:uid="{D6DA3CB1-4E6C-453C-A7AC-FF4E46CE0D36}" name="TID" dataDxfId="2648"/>
    <tableColumn id="5" xr3:uid="{AFCBEF0B-D460-4D64-90E1-EEC1C6030550}" name="ANTAL" dataDxfId="2647"/>
    <tableColumn id="6" xr3:uid="{FAB70FFC-3058-422A-827F-D3A0E9FC8A49}" name="GRUPP/LAG/SKOLA/ETC." dataDxfId="2646"/>
  </tableColumns>
  <tableStyleInfo name="Hallbokningsschema 2" showFirstColumn="0" showLastColumn="0" showRowStripes="0" showColumnStripes="0"/>
</table>
</file>

<file path=xl/tables/table3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EF7EDE72-314D-430E-882A-5E2B5AE1407C}" name="Tabell2354249567784" displayName="Tabell2354249567784" ref="A5:F8" totalsRowShown="0" headerRowDxfId="2645" dataDxfId="2644">
  <autoFilter ref="A5:F8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6:F8">
    <sortCondition ref="C6:C8"/>
  </sortState>
  <tableColumns count="6">
    <tableColumn id="1" xr3:uid="{A7715CF8-37C0-47B1-91E8-E3D83DED0462}" name="DAG" dataDxfId="1319">
      <calculatedColumnFormula>PROPER(TEXT(B6, "dddd"))</calculatedColumnFormula>
    </tableColumn>
    <tableColumn id="2" xr3:uid="{67D956CB-DAE1-4115-ADC5-C93A1ABDDA90}" name="DATUM" dataDxfId="1317">
      <calculatedColumnFormula>Tisdag47</calculatedColumnFormula>
    </tableColumn>
    <tableColumn id="3" xr3:uid="{31AC3142-29D9-45B0-BAB6-1F674F3F3DBE}" name="Tid1" dataDxfId="1318"/>
    <tableColumn id="4" xr3:uid="{D155A518-3F56-45F1-A855-7A4251E0E71C}" name="TID" dataDxfId="2643"/>
    <tableColumn id="5" xr3:uid="{D6553707-D474-4241-9272-E00EAAA3B172}" name="ANTAL" dataDxfId="2642"/>
    <tableColumn id="6" xr3:uid="{CD2DB9D0-D8A7-42D3-9643-D601267A11F7}" name="GRUPP/LAG/SKOLA/ETC." dataDxfId="2641"/>
  </tableColumns>
  <tableStyleInfo name="Hallbokningsschema 2" showFirstColumn="0" showLastColumn="0" showRowStripes="0" showColumnStripes="0"/>
</table>
</file>

<file path=xl/tables/table3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15A05E9F-C390-4214-A783-C852F99327AD}" name="Tabell3364350577885" displayName="Tabell3364350577885" ref="A9:F17" totalsRowShown="0" headerRowDxfId="2640" dataDxfId="2639">
  <autoFilter ref="A9:F1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0:F17">
    <sortCondition ref="C10:C17"/>
  </sortState>
  <tableColumns count="6">
    <tableColumn id="1" xr3:uid="{E1B3F67F-A17C-452D-AE34-EF4DD83A2FAF}" name="DAG" dataDxfId="1316">
      <calculatedColumnFormula>PROPER(TEXT(B10, "dddd"))</calculatedColumnFormula>
    </tableColumn>
    <tableColumn id="2" xr3:uid="{D9E56B1F-BDDA-4563-B158-ABCD0C897DE4}" name="DATUM" dataDxfId="1314">
      <calculatedColumnFormula>Onsdag47</calculatedColumnFormula>
    </tableColumn>
    <tableColumn id="3" xr3:uid="{3C52ABBA-C72B-4562-83DC-31B3245D8C9E}" name="Tid1" dataDxfId="1315"/>
    <tableColumn id="4" xr3:uid="{C766B6DE-F8BB-4C74-B02F-B61B558405C4}" name="TID" dataDxfId="2638"/>
    <tableColumn id="5" xr3:uid="{F8C3BEA3-B438-4582-AB3D-1C6E3903262A}" name="ANTAL" dataDxfId="2637"/>
    <tableColumn id="6" xr3:uid="{5F2100B0-7027-4B98-9D77-847BD698AEAB}" name="GRUPP/LAG/SKOLA/ETC." dataDxfId="2636"/>
  </tableColumns>
  <tableStyleInfo name="Hallbokningsschema 2" showFirstColumn="0" showLastColumn="0" showRowStripes="0" showColumnStripes="0"/>
</table>
</file>

<file path=xl/tables/table3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707C8E19-85E9-4927-B57E-9AB8DF2AFE45}" name="Tabell4374451587986" displayName="Tabell4374451587986" ref="A18:F23" totalsRowShown="0" headerRowDxfId="2635" dataDxfId="2634">
  <autoFilter ref="A18:F23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7F8C996-C23D-499F-A2A6-B41FE6BE9CBE}" name="DAG" dataDxfId="1313">
      <calculatedColumnFormula>PROPER(TEXT(B19, "dddd"))</calculatedColumnFormula>
    </tableColumn>
    <tableColumn id="2" xr3:uid="{6A17614D-2651-4122-A582-5EDDB9D5C27F}" name="DATUM" dataDxfId="1311">
      <calculatedColumnFormula>Torsdag47</calculatedColumnFormula>
    </tableColumn>
    <tableColumn id="3" xr3:uid="{439873D3-284E-40A9-B329-AC1E53EB6FCB}" name="Tid1" dataDxfId="1312"/>
    <tableColumn id="4" xr3:uid="{3512176C-9978-4AAD-BA61-6F08FA3CB0B5}" name="TID" dataDxfId="2633"/>
    <tableColumn id="5" xr3:uid="{53A11116-1687-4E0A-8D0E-FD77BA192A4F}" name="ANTAL" dataDxfId="2632"/>
    <tableColumn id="6" xr3:uid="{7698831A-B621-48C5-B387-11C98ECDE1FC}" name="GRUPP/LAG/SKOLA/ETC." dataDxfId="2631"/>
  </tableColumns>
  <tableStyleInfo name="Hallbokningsschema 2" showFirstColumn="0" showLastColumn="0" showRowStripes="0" showColumnStripes="0"/>
</table>
</file>

<file path=xl/tables/table3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487E11C1-B9F6-4807-B24B-8A329CB561E9}" name="Tabell5384552598087" displayName="Tabell5384552598087" ref="A24:F29" totalsRowShown="0" headerRowDxfId="2630" dataDxfId="2629">
  <autoFilter ref="A24:F29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F68663A-E61B-478C-8044-26DEE67F19F6}" name="DAG" dataDxfId="1310">
      <calculatedColumnFormula>PROPER(TEXT(B25, "dddd"))</calculatedColumnFormula>
    </tableColumn>
    <tableColumn id="2" xr3:uid="{D4FB5E09-361D-4663-B63F-46B3A85D6472}" name="DATUM" dataDxfId="1308">
      <calculatedColumnFormula>Fredag47</calculatedColumnFormula>
    </tableColumn>
    <tableColumn id="3" xr3:uid="{88FBA3F6-B9A5-45B7-8DFD-2AD85BFC7821}" name="Tid1" dataDxfId="1309"/>
    <tableColumn id="4" xr3:uid="{27984C8B-6D1B-4BE2-9142-EFF5192495A7}" name="TID" dataDxfId="2628"/>
    <tableColumn id="5" xr3:uid="{8355D4AF-055C-4982-8E5C-76720D367584}" name="ANTAL" dataDxfId="2627"/>
    <tableColumn id="6" xr3:uid="{8884B103-7027-40A4-A345-81A8B0382D7B}" name="GRUPP/LAG/SKOLA/ETC." dataDxfId="2626"/>
  </tableColumns>
  <tableStyleInfo name="Hallbokningsschema 2" showFirstColumn="0" showLastColumn="0" showRowStripes="0" showColumnStripes="0"/>
</table>
</file>

<file path=xl/tables/table3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79C3C358-E68F-470F-BE22-1F128C1C8796}" name="Tabell6394653608188" displayName="Tabell6394653608188" ref="A30:F32" totalsRowShown="0" headerRowDxfId="2625" dataDxfId="2624">
  <autoFilter ref="A30:F32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83369B7-C103-4027-B5F0-5D6CE61F2BF7}" name="DAG" dataDxfId="1307">
      <calculatedColumnFormula>PROPER(TEXT(B31, "dddd"))</calculatedColumnFormula>
    </tableColumn>
    <tableColumn id="2" xr3:uid="{340BE659-EB91-4917-9D07-C6468087CC84}" name="DATUM" dataDxfId="1305">
      <calculatedColumnFormula>Lördag47</calculatedColumnFormula>
    </tableColumn>
    <tableColumn id="3" xr3:uid="{382C0458-0C51-45FA-98DC-A766017B3F9B}" name="Tid1" dataDxfId="1306"/>
    <tableColumn id="4" xr3:uid="{27FBDECE-63E6-40D6-96A3-D8FEC875EB9B}" name="TID" dataDxfId="2623"/>
    <tableColumn id="5" xr3:uid="{C768C9B8-2ADD-4955-B403-A7E06443EB55}" name="ANTAL" dataDxfId="2622"/>
    <tableColumn id="6" xr3:uid="{42FA7AA8-87E9-46BF-8972-E158F970783D}" name="GRUPP/LAG/SKOLA/ETC." dataDxfId="2621"/>
  </tableColumns>
  <tableStyleInfo name="Hallbokningsschema 2" showFirstColumn="0" showLastColumn="0" showRowStripes="0" showColumnStripes="0"/>
</table>
</file>

<file path=xl/tables/table3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ECDB9E6C-2AED-4AF4-A944-54D4E6B3337A}" name="Tabell7404754618289" displayName="Tabell7404754618289" ref="A33:F34" totalsRowShown="0" headerRowDxfId="2620" dataDxfId="2619">
  <autoFilter ref="A33:F34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C77EF16-B174-402C-960D-9220D6434521}" name="DAG" dataDxfId="1304">
      <calculatedColumnFormula>PROPER(TEXT(B34, "dddd"))</calculatedColumnFormula>
    </tableColumn>
    <tableColumn id="2" xr3:uid="{3F00BEE9-17AF-4F5B-8723-B0B2198F2FEE}" name="DATUM" dataDxfId="1302">
      <calculatedColumnFormula>Söndag47</calculatedColumnFormula>
    </tableColumn>
    <tableColumn id="3" xr3:uid="{BA10C8BE-B26D-45E1-8134-C06E48094CE1}" name="Tid1" dataDxfId="1303"/>
    <tableColumn id="4" xr3:uid="{3DC898F8-5E04-4208-A45F-CFA8A8A2D0E0}" name="TID" dataDxfId="2618"/>
    <tableColumn id="5" xr3:uid="{F40895C1-CF12-4A52-B120-5C66AACE7080}" name="ANTAL" dataDxfId="2617"/>
    <tableColumn id="6" xr3:uid="{68F20EBD-9A01-404B-B19B-D607F70D9045}" name="GRUPP/LAG/SKOLA/ETC." dataDxfId="2616"/>
  </tableColumns>
  <tableStyleInfo name="Hallbokningsschema 2" showFirstColumn="0" showLastColumn="0" showRowStripes="0" showColumnStripes="0"/>
</table>
</file>

<file path=xl/tables/table3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8DC1AC63-265C-4B4E-B7C1-D6AB8B36A2F4}" name="Tabell13441485576" displayName="Tabell13441485576" ref="A2:F3" totalsRowShown="0" headerRowDxfId="2615" dataDxfId="2614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397CD5B-512E-4FE1-B8E2-F277A0D284A5}" name="DAG" dataDxfId="1301">
      <calculatedColumnFormula>PROPER(TEXT(B3, "dddd"))</calculatedColumnFormula>
    </tableColumn>
    <tableColumn id="2" xr3:uid="{A120EE04-4197-45DF-B7C7-F56C9FDC8FD6}" name="DATUM" dataDxfId="1299">
      <calculatedColumnFormula>Måndag48</calculatedColumnFormula>
    </tableColumn>
    <tableColumn id="3" xr3:uid="{E5AE41B3-992F-4E19-9740-84819D4C7162}" name="Tid1" dataDxfId="1300"/>
    <tableColumn id="4" xr3:uid="{BB480C5C-C489-4650-B1DD-17D176F38206}" name="TID" dataDxfId="2613"/>
    <tableColumn id="5" xr3:uid="{91857733-09F0-44FE-88BE-F6FF77FE735A}" name="ANTAL" dataDxfId="2612"/>
    <tableColumn id="6" xr3:uid="{D3AE3CCB-081E-4B6F-8E82-B26F777CB458}" name="GRUPP/LAG/SKOLA/ETC." dataDxfId="2611"/>
  </tableColumns>
  <tableStyleInfo name="Hallbokningsschema 2" showFirstColumn="0" showLastColumn="0" showRowStripes="0" showColumnStripes="0"/>
</table>
</file>

<file path=xl/tables/table3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4F13E242-B372-4C93-83A9-244DEE07E337}" name="Tabell23542495677" displayName="Tabell23542495677" ref="A4:F7" totalsRowShown="0" headerRowDxfId="2610" dataDxfId="2609">
  <autoFilter ref="A4:F7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5:F7">
    <sortCondition ref="C5:C7"/>
  </sortState>
  <tableColumns count="6">
    <tableColumn id="1" xr3:uid="{BAA448F4-6E6C-4C0A-A993-ECB880D1F5A9}" name="DAG" dataDxfId="1298">
      <calculatedColumnFormula>PROPER(TEXT(B5, "dddd"))</calculatedColumnFormula>
    </tableColumn>
    <tableColumn id="2" xr3:uid="{737FAE5C-11CB-4241-9E85-38DB2667534D}" name="DATUM" dataDxfId="1296">
      <calculatedColumnFormula>Tisdag48</calculatedColumnFormula>
    </tableColumn>
    <tableColumn id="3" xr3:uid="{E5E66C84-F140-49CD-8CE2-C9036411A643}" name="Tid1" dataDxfId="1297"/>
    <tableColumn id="4" xr3:uid="{35A83239-F86B-4F32-9456-BF90F435CD60}" name="TID" dataDxfId="2608"/>
    <tableColumn id="5" xr3:uid="{0E741DA0-A2BA-4FD9-9563-C03C88D67754}" name="ANTAL" dataDxfId="2607"/>
    <tableColumn id="6" xr3:uid="{A6D93753-81FE-4DE2-B118-184EFE74AF08}" name="GRUPP/LAG/SKOLA/ETC." dataDxfId="2606"/>
  </tableColumns>
  <tableStyleInfo name="Hallbokningsschema 2" showFirstColumn="0" showLastColumn="0" showRowStripes="0" showColumnStripes="0"/>
</table>
</file>

<file path=xl/tables/table3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F6100F0F-9550-4FD7-8A90-E4BD2DA5BB43}" name="Tabell33643505778" displayName="Tabell33643505778" ref="A8:F16" totalsRowShown="0" headerRowDxfId="2605" dataDxfId="2604">
  <autoFilter ref="A8:F16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9:F16">
    <sortCondition ref="C9:C16"/>
  </sortState>
  <tableColumns count="6">
    <tableColumn id="1" xr3:uid="{4B777D89-DFB9-4B05-983D-D4E39252E2DE}" name="DAG" dataDxfId="1295">
      <calculatedColumnFormula>PROPER(TEXT(B9, "dddd"))</calculatedColumnFormula>
    </tableColumn>
    <tableColumn id="2" xr3:uid="{3F619F38-DC2F-4C13-AE5F-2802D9997810}" name="DATUM" dataDxfId="1293">
      <calculatedColumnFormula>Onsdag48</calculatedColumnFormula>
    </tableColumn>
    <tableColumn id="3" xr3:uid="{8D3B687E-BD53-401A-BAC9-B4EDAC57F70B}" name="Tid1" dataDxfId="1294"/>
    <tableColumn id="4" xr3:uid="{5C2C81C7-2F2B-443D-98F2-00EB30794E60}" name="TID" dataDxfId="2603"/>
    <tableColumn id="5" xr3:uid="{449C794E-5BA0-4CAA-9714-C631FA57E2E9}" name="ANTAL" dataDxfId="2602"/>
    <tableColumn id="6" xr3:uid="{2CCB2525-5E76-42D1-B374-99A071D289B0}" name="GRUPP/LAG/SKOLA/ETC." dataDxfId="2601"/>
  </tableColumns>
  <tableStyleInfo name="Hallbokningsschema 2" showFirstColumn="0" showLastColumn="0" showRowStripes="0" showColumnStripes="0"/>
</table>
</file>

<file path=xl/tables/table3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E16C94CF-3F99-4ED4-9A24-549361FB2D0F}" name="Tabell43744515879" displayName="Tabell43744515879" ref="A17:F22" totalsRowShown="0" headerRowDxfId="2600" dataDxfId="2599">
  <autoFilter ref="A17:F22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4FB53D4-B7CC-4D9E-A481-5C58CE99E148}" name="DAG" dataDxfId="1292">
      <calculatedColumnFormula>PROPER(TEXT(B18, "dddd"))</calculatedColumnFormula>
    </tableColumn>
    <tableColumn id="2" xr3:uid="{770F400C-9812-4245-A2AF-E7E1A55505F7}" name="DATUM" dataDxfId="1290">
      <calculatedColumnFormula>Torsdag48</calculatedColumnFormula>
    </tableColumn>
    <tableColumn id="3" xr3:uid="{91566AE9-74D7-4FC6-8F6B-5193B53C5609}" name="Tid1" dataDxfId="1291"/>
    <tableColumn id="4" xr3:uid="{0E67A5A6-A5F0-4D07-91CC-A3107695CF36}" name="TID" dataDxfId="2598"/>
    <tableColumn id="5" xr3:uid="{CFC98AAE-274C-4BD5-A9D7-26FB8F311E55}" name="ANTAL" dataDxfId="2597"/>
    <tableColumn id="6" xr3:uid="{1C405DEB-88A9-447E-A6F9-26BE04C7D74B}" name="GRUPP/LAG/SKOLA/ETC." dataDxfId="2596"/>
  </tableColumns>
  <tableStyleInfo name="Hallbokningsschema 2" showFirstColumn="0" showLastColumn="0" showRowStripes="0" showColumnStripes="0"/>
</table>
</file>

<file path=xl/tables/table3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4F73009A-F1A2-4605-AA45-055F4E5C504C}" name="Tabell53845525980" displayName="Tabell53845525980" ref="A23:F28" totalsRowShown="0" headerRowDxfId="2595" dataDxfId="2594">
  <autoFilter ref="A23:F28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08779F9-AB7E-43CB-87DD-7152E4525821}" name="DAG" dataDxfId="1289">
      <calculatedColumnFormula>PROPER(TEXT(B24, "dddd"))</calculatedColumnFormula>
    </tableColumn>
    <tableColumn id="2" xr3:uid="{67AD8897-65B3-4AC6-890C-ABDF2F89CA0C}" name="DATUM" dataDxfId="1287">
      <calculatedColumnFormula>Fredag48</calculatedColumnFormula>
    </tableColumn>
    <tableColumn id="3" xr3:uid="{608DFB94-9E79-4A44-A2A1-89C586FEABA5}" name="Tid1" dataDxfId="1288"/>
    <tableColumn id="4" xr3:uid="{CE4289AD-4CC3-4189-B4F9-EB82B8C16FA5}" name="TID" dataDxfId="2593"/>
    <tableColumn id="5" xr3:uid="{8A40DFA6-CEA1-40BE-A6E3-0FCE631656D3}" name="ANTAL" dataDxfId="2592"/>
    <tableColumn id="6" xr3:uid="{0321E796-2B40-4814-86F5-077CC598D476}" name="GRUPP/LAG/SKOLA/ETC." dataDxfId="2591"/>
  </tableColumns>
  <tableStyleInfo name="Hallbokningsschema 2" showFirstColumn="0" showLastColumn="0" showRowStripes="0" showColumnStripes="0"/>
</table>
</file>

<file path=xl/tables/table3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A8F7BE89-317B-477D-B175-06DE11E54BA7}" name="Tabell63946536081" displayName="Tabell63946536081" ref="A29:F31" totalsRowShown="0" headerRowDxfId="2590" dataDxfId="2589">
  <autoFilter ref="A29:F31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B3950BC-6D62-4D55-A831-88768DBA0316}" name="DAG" dataDxfId="1286">
      <calculatedColumnFormula>PROPER(TEXT(B30, "dddd"))</calculatedColumnFormula>
    </tableColumn>
    <tableColumn id="2" xr3:uid="{32252B03-7D50-4220-851A-DC33F07B1A03}" name="DATUM" dataDxfId="1284">
      <calculatedColumnFormula>Lördag48</calculatedColumnFormula>
    </tableColumn>
    <tableColumn id="3" xr3:uid="{B116A9D9-3266-4FF1-8AC5-27F3930AA262}" name="Tid1" dataDxfId="1285"/>
    <tableColumn id="4" xr3:uid="{FD2F8DD0-A0FD-4B45-9737-D79E86D2DC49}" name="TID" dataDxfId="2588"/>
    <tableColumn id="5" xr3:uid="{F40EC848-D429-4EEF-8408-63FC426EAC11}" name="ANTAL" dataDxfId="2587"/>
    <tableColumn id="6" xr3:uid="{0182BCB4-F012-4050-9FF2-97530B1F8B6D}" name="GRUPP/LAG/SKOLA/ETC." dataDxfId="2586"/>
  </tableColumns>
  <tableStyleInfo name="Hallbokningsschema 2" showFirstColumn="0" showLastColumn="0" showRowStripes="0" showColumnStripes="0"/>
</table>
</file>

<file path=xl/tables/table3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3BF759E2-583B-4594-BB5B-E0C869AE1BB6}" name="Tabell74047546182" displayName="Tabell74047546182" ref="A32:F33" totalsRowShown="0" headerRowDxfId="2585" dataDxfId="2584">
  <autoFilter ref="A32:F33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4E7A43A-8162-491A-8266-B4A3080FA528}" name="DAG" dataDxfId="1283">
      <calculatedColumnFormula>PROPER(TEXT(B33, "dddd"))</calculatedColumnFormula>
    </tableColumn>
    <tableColumn id="2" xr3:uid="{BD5A0B02-06AA-4C4C-9580-51DB34F63ABB}" name="DATUM" dataDxfId="1281">
      <calculatedColumnFormula>Söndag48</calculatedColumnFormula>
    </tableColumn>
    <tableColumn id="3" xr3:uid="{0D964599-547C-4942-8895-FA27D3C76A8A}" name="Tid1" dataDxfId="1282"/>
    <tableColumn id="4" xr3:uid="{C3A2C16C-2924-4A56-A0C5-A3E657425872}" name="TID" dataDxfId="2583"/>
    <tableColumn id="5" xr3:uid="{972BA6CF-38CF-4B90-A24D-90C4EE0E2487}" name="ANTAL" dataDxfId="2582"/>
    <tableColumn id="6" xr3:uid="{DFFF9EF7-B65D-4399-90D4-52DEBD128CBD}" name="GRUPP/LAG/SKOLA/ETC." dataDxfId="2581"/>
  </tableColumns>
  <tableStyleInfo name="Hallbokningsschema 2" showFirstColumn="0" showLastColumn="0" showRowStripes="0" showColumnStripes="0"/>
</table>
</file>

<file path=xl/tables/table3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45A880D-D785-482C-A9E5-4001A8C3422A}" name="Tabell134414855" displayName="Tabell134414855" ref="A2:F3" totalsRowShown="0" headerRowDxfId="2580" dataDxfId="2579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42712FA-0E8D-4022-ABF3-E8860D592CB4}" name="DAG" dataDxfId="1280">
      <calculatedColumnFormula>PROPER(TEXT(B3, "dddd"))</calculatedColumnFormula>
    </tableColumn>
    <tableColumn id="2" xr3:uid="{193F19FA-8C3C-4D19-972C-7FB1DDB03C58}" name="DATUM" dataDxfId="1278">
      <calculatedColumnFormula>Måndag49</calculatedColumnFormula>
    </tableColumn>
    <tableColumn id="3" xr3:uid="{3435A55C-F1E5-4F0C-A37B-E36D3E4A1787}" name="Tid1" dataDxfId="1279"/>
    <tableColumn id="4" xr3:uid="{6EA31946-7A22-4E89-BD9B-8D3FF47FED04}" name="TID" dataDxfId="2578"/>
    <tableColumn id="5" xr3:uid="{713B1A5E-FE8B-47E9-BCE3-2D6682F8F4AA}" name="ANTAL" dataDxfId="2577"/>
    <tableColumn id="6" xr3:uid="{2B3F9ED9-6883-4576-84D4-1AC11D5D4F36}" name="GRUPP/LAG/SKOLA/ETC." dataDxfId="2576"/>
  </tableColumns>
  <tableStyleInfo name="Hallbokningsschema 2" showFirstColumn="0" showLastColumn="0" showRowStripes="0" showColumnStripes="0"/>
</table>
</file>

<file path=xl/tables/table3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D7568C0-549C-4B84-B633-F0022F3FDA7A}" name="Tabell235424956" displayName="Tabell235424956" ref="A4:F7" totalsRowShown="0" headerRowDxfId="2575" dataDxfId="2574">
  <autoFilter ref="A4:F7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5:F7">
    <sortCondition ref="C5:C7"/>
  </sortState>
  <tableColumns count="6">
    <tableColumn id="1" xr3:uid="{0F5040BA-657E-4F2E-8E22-3F4F88D9171A}" name="DAG" dataDxfId="1277">
      <calculatedColumnFormula>PROPER(TEXT(B5, "dddd"))</calculatedColumnFormula>
    </tableColumn>
    <tableColumn id="2" xr3:uid="{478B5A66-2826-428C-8965-5FA66438C791}" name="DATUM" dataDxfId="1275">
      <calculatedColumnFormula>Tisdag49</calculatedColumnFormula>
    </tableColumn>
    <tableColumn id="3" xr3:uid="{EA050884-586A-4068-954A-C6631E6F9CC1}" name="Tid1" dataDxfId="1276"/>
    <tableColumn id="4" xr3:uid="{30EDAC69-B918-44A7-8DCF-40F2F1A18C71}" name="TID" dataDxfId="2573"/>
    <tableColumn id="5" xr3:uid="{DF44F615-E453-40AF-A699-8EF1DB311EBA}" name="ANTAL" dataDxfId="2572"/>
    <tableColumn id="6" xr3:uid="{0E63155F-A1DF-406E-8A9E-37DC91A84B11}" name="GRUPP/LAG/SKOLA/ETC." dataDxfId="2571"/>
  </tableColumns>
  <tableStyleInfo name="Hallbokningsschema 2" showFirstColumn="0" showLastColumn="0" showRowStripes="0" showColumnStripes="0"/>
</table>
</file>

<file path=xl/tables/table3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2A01E7CD-1DB4-475B-8261-58A3C13D51D1}" name="Tabell336435057" displayName="Tabell336435057" ref="A8:F17" totalsRowShown="0" headerRowDxfId="2570" dataDxfId="2569">
  <autoFilter ref="A8:F1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9:F17">
    <sortCondition ref="C9:C17"/>
  </sortState>
  <tableColumns count="6">
    <tableColumn id="1" xr3:uid="{12328539-7703-4864-86B8-3FD5E7AA3CC5}" name="DAG" dataDxfId="1274">
      <calculatedColumnFormula>PROPER(TEXT(B9, "dddd"))</calculatedColumnFormula>
    </tableColumn>
    <tableColumn id="2" xr3:uid="{5B6AEEEF-5412-4EF7-9304-1AD824536307}" name="DATUM" dataDxfId="1272">
      <calculatedColumnFormula>Onsdag49</calculatedColumnFormula>
    </tableColumn>
    <tableColumn id="3" xr3:uid="{60EB50C3-5FCA-407A-9B32-4DBE05289B3F}" name="Tid1" dataDxfId="1273"/>
    <tableColumn id="4" xr3:uid="{EA472D55-805C-42E6-92C2-2629C3889276}" name="TID" dataDxfId="2568"/>
    <tableColumn id="5" xr3:uid="{7F95921D-F56F-4DC5-BE67-3B8C08CF7009}" name="ANTAL" dataDxfId="2567"/>
    <tableColumn id="6" xr3:uid="{150E6E1F-32F4-46E3-B766-22EAC2E02A04}" name="GRUPP/LAG/SKOLA/ETC." dataDxfId="2566"/>
  </tableColumns>
  <tableStyleInfo name="Hallbokningsschema 2" showFirstColumn="0" showLastColumn="0" showRowStripes="0" showColumnStripes="0"/>
</table>
</file>

<file path=xl/tables/table3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F143EFC-8B1C-4336-90EC-5E43231B0FD4}" name="Tabell437445158" displayName="Tabell437445158" ref="A18:F24" totalsRowShown="0" headerRowDxfId="2565" dataDxfId="2564">
  <autoFilter ref="A18:F24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9:F24">
    <sortCondition ref="C19:C24"/>
  </sortState>
  <tableColumns count="6">
    <tableColumn id="1" xr3:uid="{C9E5D176-BD0B-4D87-A786-F18FF6CB49E6}" name="DAG" dataDxfId="1271">
      <calculatedColumnFormula>PROPER(TEXT(B19, "dddd"))</calculatedColumnFormula>
    </tableColumn>
    <tableColumn id="2" xr3:uid="{DCF6BEEB-0C59-461F-AA51-C4C2B1BD0055}" name="DATUM" dataDxfId="1269">
      <calculatedColumnFormula>Torsdag49</calculatedColumnFormula>
    </tableColumn>
    <tableColumn id="3" xr3:uid="{76D1ADC5-AE81-4BC0-A210-D414E1ED5938}" name="Tid1" dataDxfId="1270"/>
    <tableColumn id="4" xr3:uid="{6CC31993-A278-4666-82F6-E3FB8B7D1EE1}" name="TID" dataDxfId="2563"/>
    <tableColumn id="5" xr3:uid="{F5B3297B-AAEE-46FE-878B-74050C2583C6}" name="ANTAL" dataDxfId="2562"/>
    <tableColumn id="6" xr3:uid="{79DABC11-CA2B-4A40-9CA7-FC717976B395}" name="GRUPP/LAG/SKOLA/ETC." dataDxfId="2561"/>
  </tableColumns>
  <tableStyleInfo name="Hallbokningsschema 2" showFirstColumn="0" showLastColumn="0" showRowStripes="0" showColumnStripes="0"/>
</table>
</file>

<file path=xl/tables/table3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6BA71E6B-5BDE-4F73-A753-85F4145B7A45}" name="Tabell538455259" displayName="Tabell538455259" ref="A25:F30" totalsRowShown="0" headerRowDxfId="2560" dataDxfId="2559">
  <autoFilter ref="A25:F30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127F625-B726-450F-8874-E18C3C231DFD}" name="DAG" dataDxfId="1268">
      <calculatedColumnFormula>PROPER(TEXT(B26, "dddd"))</calculatedColumnFormula>
    </tableColumn>
    <tableColumn id="2" xr3:uid="{D3C7256C-0E3C-4B21-AA5F-16FA410E27EC}" name="DATUM" dataDxfId="1266">
      <calculatedColumnFormula>Fredag49</calculatedColumnFormula>
    </tableColumn>
    <tableColumn id="3" xr3:uid="{435D2F46-5122-49D0-A305-4E69A2FA7AF0}" name="Tid1" dataDxfId="1267"/>
    <tableColumn id="4" xr3:uid="{23B278BA-9A7B-4ABE-8D64-C7C8CA8B4569}" name="TID" dataDxfId="2558"/>
    <tableColumn id="5" xr3:uid="{C2DEDC33-EEC9-4BE5-83E8-073714D373D3}" name="ANTAL" dataDxfId="2557"/>
    <tableColumn id="6" xr3:uid="{208C3208-C7B1-4D2B-B11B-E24740BE86A8}" name="GRUPP/LAG/SKOLA/ETC." dataDxfId="2556"/>
  </tableColumns>
  <tableStyleInfo name="Hallbokningsschema 2" showFirstColumn="0" showLastColumn="0" showRowStripes="0" showColumnStripes="0"/>
</table>
</file>

<file path=xl/tables/table3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654309CD-104B-443D-B705-E50D38A22484}" name="Tabell639465360" displayName="Tabell639465360" ref="A31:F34" totalsRowShown="0" headerRowDxfId="2555" dataDxfId="2554">
  <autoFilter ref="A31:F34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A019EA2-3FC9-449A-A67A-2E7585AA5EA4}" name="DAG" dataDxfId="1265">
      <calculatedColumnFormula>PROPER(TEXT(B32, "dddd"))</calculatedColumnFormula>
    </tableColumn>
    <tableColumn id="2" xr3:uid="{DF093A57-3775-4C06-8BF9-B471F9BAB470}" name="DATUM" dataDxfId="1263">
      <calculatedColumnFormula>Lördag49</calculatedColumnFormula>
    </tableColumn>
    <tableColumn id="3" xr3:uid="{E1F0437C-236F-4B19-91B6-179331D94766}" name="Tid1" dataDxfId="1264"/>
    <tableColumn id="4" xr3:uid="{12DEDD9C-70A5-4C63-9898-D785808E0402}" name="TID" dataDxfId="2553"/>
    <tableColumn id="5" xr3:uid="{A7D1B01F-69A1-45F8-B1CF-D9B4B02B8A2B}" name="ANTAL" dataDxfId="2552"/>
    <tableColumn id="6" xr3:uid="{45CBBB53-8A80-475A-B96A-214D20BC9D18}" name="GRUPP/LAG/SKOLA/ETC." dataDxfId="2551"/>
  </tableColumns>
  <tableStyleInfo name="Hallbokningsschema 2" showFirstColumn="0" showLastColumn="0" showRowStripes="0" showColumnStripes="0"/>
</table>
</file>

<file path=xl/tables/table3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92AD6C25-7ACF-4B81-BEF8-9E7975B87D11}" name="Tabell740475461" displayName="Tabell740475461" ref="A35:F36" totalsRowShown="0" headerRowDxfId="2550" dataDxfId="2549">
  <autoFilter ref="A35:F36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73F34AD-F22F-47B4-B305-49D3720E2A7A}" name="DAG" dataDxfId="1262">
      <calculatedColumnFormula>PROPER(TEXT(B36, "dddd"))</calculatedColumnFormula>
    </tableColumn>
    <tableColumn id="2" xr3:uid="{1B44D032-2F24-40B9-B443-C01C22BB82CD}" name="DATUM" dataDxfId="1260">
      <calculatedColumnFormula>Söndag49</calculatedColumnFormula>
    </tableColumn>
    <tableColumn id="3" xr3:uid="{1FD776F7-B49C-4DCC-B999-A3AC774BC502}" name="Tid1" dataDxfId="1261"/>
    <tableColumn id="4" xr3:uid="{2CED445C-9F88-42DD-8076-38BCDAE8293B}" name="TID" dataDxfId="2548"/>
    <tableColumn id="5" xr3:uid="{05DEA599-A0A4-4D9A-9712-A123C8E79797}" name="ANTAL" dataDxfId="2547"/>
    <tableColumn id="6" xr3:uid="{EF23E3A8-6B5A-4F4C-BB03-F43787C30C7F}" name="GRUPP/LAG/SKOLA/ETC." dataDxfId="2546"/>
  </tableColumns>
  <tableStyleInfo name="Hallbokningsschema 2" showFirstColumn="0" showLastColumn="0" showRowStripes="0" showColumnStripes="0"/>
</table>
</file>

<file path=xl/tables/table3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12DA45F-C464-43B6-AD41-E6CBD91B2521}" name="Tabell1344148" displayName="Tabell1344148" ref="A2:F3" totalsRowShown="0" headerRowDxfId="2545" dataDxfId="2544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9E66D5E-B1F5-47F9-9E6C-EBF269D45C70}" name="DAG" dataDxfId="1259">
      <calculatedColumnFormula>PROPER(TEXT(B3, "dddd"))</calculatedColumnFormula>
    </tableColumn>
    <tableColumn id="2" xr3:uid="{18FACDC9-9E81-4B8D-B0B2-507E90BB5F95}" name="DATUM" dataDxfId="1257">
      <calculatedColumnFormula>Måndag50</calculatedColumnFormula>
    </tableColumn>
    <tableColumn id="3" xr3:uid="{53124B36-CFB7-4280-9DA9-89B58B1DF8CA}" name="Tid1" dataDxfId="1258"/>
    <tableColumn id="4" xr3:uid="{B2D65147-4F15-4911-95BD-849912D411E1}" name="TID" dataDxfId="2543"/>
    <tableColumn id="5" xr3:uid="{8A992214-C3E5-4F1A-B5BE-10A0BE6264C8}" name="ANTAL" dataDxfId="2542"/>
    <tableColumn id="6" xr3:uid="{D6501619-1A9E-4549-B10D-AE0293F1E262}" name="GRUPP/LAG/SKOLA/ETC." dataDxfId="2541"/>
  </tableColumns>
  <tableStyleInfo name="Hallbokningsschema 2" showFirstColumn="0" showLastColumn="0" showRowStripes="0" showColumnStripes="0"/>
</table>
</file>

<file path=xl/tables/table3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F8287441-9783-453E-95B4-636E8D625FAA}" name="Tabell2354249" displayName="Tabell2354249" ref="A4:F7" totalsRowShown="0" headerRowDxfId="2540" dataDxfId="2539">
  <autoFilter ref="A4:F7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5:F7">
    <sortCondition ref="C5:C7"/>
  </sortState>
  <tableColumns count="6">
    <tableColumn id="1" xr3:uid="{C7DFF9D8-3FC6-4A76-86CE-16F8293F0059}" name="DAG" dataDxfId="1256">
      <calculatedColumnFormula>PROPER(TEXT(B5, "dddd"))</calculatedColumnFormula>
    </tableColumn>
    <tableColumn id="2" xr3:uid="{52A75CD0-C5BB-4D2D-A2D7-CFDCED5931E9}" name="DATUM" dataDxfId="1254">
      <calculatedColumnFormula>Tisdag50</calculatedColumnFormula>
    </tableColumn>
    <tableColumn id="3" xr3:uid="{E006AD47-7B0E-44BC-B44B-C3BAA8F47FD8}" name="Tid1" dataDxfId="1255"/>
    <tableColumn id="4" xr3:uid="{08CFFB31-CA54-4885-89DF-CDE4099B9E83}" name="TID" dataDxfId="2538"/>
    <tableColumn id="5" xr3:uid="{E0296AF0-2A52-49E8-9727-DC9D9BC305E0}" name="ANTAL" dataDxfId="2537"/>
    <tableColumn id="6" xr3:uid="{B6CFCDE1-AE66-4794-9791-800B684D0DC0}" name="GRUPP/LAG/SKOLA/ETC." dataDxfId="2536"/>
  </tableColumns>
  <tableStyleInfo name="Hallbokningsschema 2" showFirstColumn="0" showLastColumn="0" showRowStripes="0" showColumnStripes="0"/>
</table>
</file>

<file path=xl/tables/table3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63A54C3-1C37-4317-8367-DD385012F805}" name="Tabell3364350" displayName="Tabell3364350" ref="A8:F16" totalsRowShown="0" headerRowDxfId="2535" dataDxfId="2534">
  <autoFilter ref="A8:F16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9:F16">
    <sortCondition ref="C9:C16"/>
  </sortState>
  <tableColumns count="6">
    <tableColumn id="1" xr3:uid="{AE3439D1-7DF9-48B9-915F-BE631A330733}" name="DAG" dataDxfId="1253">
      <calculatedColumnFormula>PROPER(TEXT(B9, "dddd"))</calculatedColumnFormula>
    </tableColumn>
    <tableColumn id="2" xr3:uid="{2E170F75-FC0A-4115-B091-FBB311AA0B49}" name="DATUM" dataDxfId="1251">
      <calculatedColumnFormula>Onsdag50</calculatedColumnFormula>
    </tableColumn>
    <tableColumn id="3" xr3:uid="{0AD4E434-1925-477C-9FF7-5CC98012713B}" name="Tid1" dataDxfId="1252"/>
    <tableColumn id="4" xr3:uid="{7B0B6990-EA49-4196-B9CB-51B5DBAA694A}" name="TID" dataDxfId="2533"/>
    <tableColumn id="5" xr3:uid="{580AF8BC-3F03-4FBD-9B17-12D79F7C8A21}" name="ANTAL" dataDxfId="2532"/>
    <tableColumn id="6" xr3:uid="{9F24F447-8DDE-4797-95F5-9A4EAC3F8DDA}" name="GRUPP/LAG/SKOLA/ETC." dataDxfId="2531"/>
  </tableColumns>
  <tableStyleInfo name="Hallbokningsschema 2" showFirstColumn="0" showLastColumn="0" showRowStripes="0" showColumnStripes="0"/>
</table>
</file>

<file path=xl/tables/table3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B3CD3C4C-47D5-49C9-B09A-F29525A5940C}" name="Tabell4374451" displayName="Tabell4374451" ref="A17:F22" totalsRowShown="0" headerRowDxfId="2530" dataDxfId="2529">
  <autoFilter ref="A17:F22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1661EFC-1419-4D16-B858-963FCE9C7822}" name="DAG" dataDxfId="1250">
      <calculatedColumnFormula>PROPER(TEXT(B18, "dddd"))</calculatedColumnFormula>
    </tableColumn>
    <tableColumn id="2" xr3:uid="{D05C7E63-C08A-4063-ABD9-59D2450A03DB}" name="DATUM" dataDxfId="1248">
      <calculatedColumnFormula>Torsdag50</calculatedColumnFormula>
    </tableColumn>
    <tableColumn id="3" xr3:uid="{0D95B5C7-8D64-4441-BAD9-BD081287C08B}" name="Tid1" dataDxfId="1249"/>
    <tableColumn id="4" xr3:uid="{FA5D80AA-5330-4247-A6F3-D781210EB20E}" name="TID" dataDxfId="2528"/>
    <tableColumn id="5" xr3:uid="{1D8322B8-3B09-41B1-9851-CA3A5C4B1930}" name="ANTAL" dataDxfId="2527"/>
    <tableColumn id="6" xr3:uid="{229CCB32-47E1-4A05-BBEC-7FD324946461}" name="GRUPP/LAG/SKOLA/ETC." dataDxfId="2526"/>
  </tableColumns>
  <tableStyleInfo name="Hallbokningsschema 2" showFirstColumn="0" showLastColumn="0" showRowStripes="0" showColumnStripes="0"/>
</table>
</file>

<file path=xl/tables/table3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CFE00434-5925-4CB7-BD0A-3D2DCF405FB9}" name="Tabell5384552" displayName="Tabell5384552" ref="A23:F28" totalsRowShown="0" headerRowDxfId="2525" dataDxfId="2524">
  <autoFilter ref="A23:F28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2BE2636-87AB-4CBC-B980-2CB48B10447D}" name="DAG" dataDxfId="1247">
      <calculatedColumnFormula>PROPER(TEXT(B24, "dddd"))</calculatedColumnFormula>
    </tableColumn>
    <tableColumn id="2" xr3:uid="{FC0C83A0-921D-4BCD-9CDD-1BF638EA3ECB}" name="DATUM" dataDxfId="1245">
      <calculatedColumnFormula>Fredag50</calculatedColumnFormula>
    </tableColumn>
    <tableColumn id="3" xr3:uid="{62313455-4B36-4B44-BEE1-33C0FA5F179A}" name="Tid1" dataDxfId="1246"/>
    <tableColumn id="4" xr3:uid="{4E0B01A6-A0BA-4B5B-A4B6-9258C2F83D72}" name="TID" dataDxfId="2523"/>
    <tableColumn id="5" xr3:uid="{09EFECB8-C0AE-48FF-AE4D-64D6AE9B20C3}" name="ANTAL" dataDxfId="2522"/>
    <tableColumn id="6" xr3:uid="{DAD19D30-330C-4C1F-AA69-DE66EE793D07}" name="GRUPP/LAG/SKOLA/ETC." dataDxfId="2521"/>
  </tableColumns>
  <tableStyleInfo name="Hallbokningsschema 2" showFirstColumn="0" showLastColumn="0" showRowStripes="0" showColumnStripes="0"/>
</table>
</file>

<file path=xl/tables/table3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FB1D3DD-E399-4030-AFB5-D1E5FB43B570}" name="Tabell6394653" displayName="Tabell6394653" ref="A29:F31" totalsRowShown="0" headerRowDxfId="2520" dataDxfId="2519">
  <autoFilter ref="A29:F31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9C0B6C1-C0D9-4B2E-B280-338A99930032}" name="DAG" dataDxfId="1244">
      <calculatedColumnFormula>PROPER(TEXT(B30, "dddd"))</calculatedColumnFormula>
    </tableColumn>
    <tableColumn id="2" xr3:uid="{CFC5B327-498C-42DB-B2F9-A3B408CD105B}" name="DATUM" dataDxfId="1242">
      <calculatedColumnFormula>Lördag50</calculatedColumnFormula>
    </tableColumn>
    <tableColumn id="3" xr3:uid="{6FB2F187-5776-435E-8A66-9C0E0CA9D192}" name="Tid1" dataDxfId="1243"/>
    <tableColumn id="4" xr3:uid="{A19EC2AA-A13D-434D-9AEA-21F650F92601}" name="TID" dataDxfId="2518"/>
    <tableColumn id="5" xr3:uid="{FE08ADB3-9ED7-4767-899D-92A5D94D378D}" name="ANTAL" dataDxfId="2517"/>
    <tableColumn id="6" xr3:uid="{5C25D7BA-9870-46D3-8854-6B04F63DFCFF}" name="GRUPP/LAG/SKOLA/ETC." dataDxfId="2516"/>
  </tableColumns>
  <tableStyleInfo name="Hallbokningsschema 2" showFirstColumn="0" showLastColumn="0" showRowStripes="0" showColumnStripes="0"/>
</table>
</file>

<file path=xl/tables/table3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8B3E6089-C75E-4CEE-A354-C0E2D1FA3B63}" name="Tabell7404754" displayName="Tabell7404754" ref="A32:F33" totalsRowShown="0" headerRowDxfId="2515" dataDxfId="2514">
  <autoFilter ref="A32:F33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A64ACFA-E0BA-4D11-945F-F14490628D03}" name="DAG" dataDxfId="1241">
      <calculatedColumnFormula>PROPER(TEXT(B33, "dddd"))</calculatedColumnFormula>
    </tableColumn>
    <tableColumn id="2" xr3:uid="{FAC17029-37DF-4D04-85F0-6CBD3CA4D6CF}" name="DATUM" dataDxfId="1239">
      <calculatedColumnFormula>Söndag50</calculatedColumnFormula>
    </tableColumn>
    <tableColumn id="3" xr3:uid="{32849350-53D5-48A4-B34A-6B5636313F60}" name="Tid1" dataDxfId="1240"/>
    <tableColumn id="4" xr3:uid="{36B4B0D0-0674-4AC8-AECB-515035CF9DC9}" name="TID" dataDxfId="2513"/>
    <tableColumn id="5" xr3:uid="{8D77C694-D7F7-48D0-BA70-E379AF8DA2CC}" name="ANTAL" dataDxfId="2512"/>
    <tableColumn id="6" xr3:uid="{0728A6C3-C3B7-4FC3-AA85-8AB5546ED097}" name="GRUPP/LAG/SKOLA/ETC." dataDxfId="2511"/>
  </tableColumns>
  <tableStyleInfo name="Hallbokningsschema 2" showFirstColumn="0" showLastColumn="0" showRowStripes="0" showColumnStripes="0"/>
</table>
</file>

<file path=xl/tables/table3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1869BFF-8C04-4B6E-B662-D91446881700}" name="Tabell134" displayName="Tabell134" ref="A2:F3" totalsRowShown="0" headerRowDxfId="2510" dataDxfId="2509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B77730C-3139-45FF-9D35-26BCFEBAEBF4}" name="DAG" dataDxfId="1238">
      <calculatedColumnFormula>PROPER(TEXT(B3, "dddd"))</calculatedColumnFormula>
    </tableColumn>
    <tableColumn id="2" xr3:uid="{274E2E42-39FA-4B97-9867-A147310C51B1}" name="DATUM" dataDxfId="1236">
      <calculatedColumnFormula>Måndag51</calculatedColumnFormula>
    </tableColumn>
    <tableColumn id="3" xr3:uid="{F8629BB9-DCF4-4DD8-A4DA-3531EB59B4C8}" name="Tid1" dataDxfId="1237"/>
    <tableColumn id="4" xr3:uid="{016DA114-43D1-4685-ACF8-42DD310DC8C8}" name="TID" dataDxfId="2508"/>
    <tableColumn id="5" xr3:uid="{FDC53D1E-9496-468B-AF6F-51199AFBD890}" name="ANTAL" dataDxfId="2507"/>
    <tableColumn id="6" xr3:uid="{49E63947-F8B4-4207-AD51-E0CC7CF340E4}" name="GRUPP/LAG/SKOLA/ETC." dataDxfId="2506"/>
  </tableColumns>
  <tableStyleInfo name="Hallbokningsschema 2" showFirstColumn="0" showLastColumn="0" showRowStripes="0" showColumnStripes="0"/>
</table>
</file>

<file path=xl/tables/table3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CAE610C-9AA9-4D32-B8BC-A65D01ED98C4}" name="Tabell235" displayName="Tabell235" ref="A4:F7" totalsRowShown="0" headerRowDxfId="2505" dataDxfId="2504">
  <autoFilter ref="A4:F7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5:F7">
    <sortCondition ref="C5:C7"/>
  </sortState>
  <tableColumns count="6">
    <tableColumn id="1" xr3:uid="{9F4278E6-1933-408A-AE7E-84938716B3D6}" name="DAG" dataDxfId="1235">
      <calculatedColumnFormula>PROPER(TEXT(B5, "dddd"))</calculatedColumnFormula>
    </tableColumn>
    <tableColumn id="2" xr3:uid="{9EF71DD6-515A-478F-9C74-7F0F1E313BBC}" name="DATUM" dataDxfId="1233">
      <calculatedColumnFormula>Tisdag51</calculatedColumnFormula>
    </tableColumn>
    <tableColumn id="3" xr3:uid="{6DAD5664-0759-4803-85A2-D776C37FD047}" name="Tid1" dataDxfId="1234"/>
    <tableColumn id="4" xr3:uid="{5ABA0632-EF21-4747-9B33-678F51AED85C}" name="TID" dataDxfId="2503"/>
    <tableColumn id="5" xr3:uid="{8324DC76-2D12-4085-A4D7-59E4D8422E93}" name="ANTAL" dataDxfId="2502"/>
    <tableColumn id="6" xr3:uid="{87D17D99-68DB-4409-9FBE-2962FD2DFF9A}" name="GRUPP/LAG/SKOLA/ETC." dataDxfId="2501"/>
  </tableColumns>
  <tableStyleInfo name="Hallbokningsschema 2" showFirstColumn="0" showLastColumn="0" showRowStripes="0" showColumnStripes="0"/>
</table>
</file>

<file path=xl/tables/table3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9E5AC8C-66C2-44E6-B047-0381D75ED136}" name="Tabell336" displayName="Tabell336" ref="A8:F14" totalsRowShown="0" headerRowDxfId="2500" dataDxfId="2499">
  <autoFilter ref="A8:F14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9:F14">
    <sortCondition ref="C9:C14"/>
  </sortState>
  <tableColumns count="6">
    <tableColumn id="1" xr3:uid="{1CB0CC7F-196E-431F-9F33-A4D06060551A}" name="DAG" dataDxfId="1232">
      <calculatedColumnFormula>PROPER(TEXT(B9, "dddd"))</calculatedColumnFormula>
    </tableColumn>
    <tableColumn id="2" xr3:uid="{C76FFEF4-D1D8-45E4-9297-62B9BEFDBAED}" name="DATUM" dataDxfId="1230">
      <calculatedColumnFormula>Onsdag51</calculatedColumnFormula>
    </tableColumn>
    <tableColumn id="3" xr3:uid="{83060C90-FE66-493D-BF5B-88F332ED7E64}" name="Tid1" dataDxfId="1231"/>
    <tableColumn id="4" xr3:uid="{585C7301-DA3D-473E-8FBC-97874AA161AB}" name="TID" dataDxfId="2498"/>
    <tableColumn id="5" xr3:uid="{D718C829-7699-44D6-B7CF-6C77234F39E1}" name="ANTAL" dataDxfId="2497"/>
    <tableColumn id="6" xr3:uid="{D5776270-B830-43CC-BB8E-D2AA1D65B75A}" name="GRUPP/LAG/SKOLA/ETC." dataDxfId="2496"/>
  </tableColumns>
  <tableStyleInfo name="Hallbokningsschema 2" showFirstColumn="0" showLastColumn="0" showRowStripes="0" showColumnStripes="0"/>
</table>
</file>

<file path=xl/tables/table3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76C3568-6B56-4A57-B1DC-A1667346FB91}" name="Tabell437" displayName="Tabell437" ref="A15:F20" totalsRowShown="0" headerRowDxfId="2495" dataDxfId="2494">
  <autoFilter ref="A15:F20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29CC6E7-987E-4244-BE1D-E1B3F7944FBE}" name="DAG" dataDxfId="1229">
      <calculatedColumnFormula>PROPER(TEXT(B16, "dddd"))</calculatedColumnFormula>
    </tableColumn>
    <tableColumn id="2" xr3:uid="{911F3581-3522-4D77-BF0F-BA0DBDBC08D4}" name="DATUM" dataDxfId="1227">
      <calculatedColumnFormula>Torsdag51</calculatedColumnFormula>
    </tableColumn>
    <tableColumn id="3" xr3:uid="{3DDD44DE-8F29-41A3-AF1D-C671FF4EB854}" name="Tid1" dataDxfId="1228"/>
    <tableColumn id="4" xr3:uid="{51E6023D-7DD3-4584-9210-77F23C57D7FC}" name="TID" dataDxfId="2493"/>
    <tableColumn id="5" xr3:uid="{9474EB74-7437-4F66-808E-71AFFB25B5D8}" name="ANTAL" dataDxfId="2492"/>
    <tableColumn id="6" xr3:uid="{726B3FEA-A16E-4F50-B5DA-B339B4D2515A}" name="GRUPP/LAG/SKOLA/ETC." dataDxfId="2491"/>
  </tableColumns>
  <tableStyleInfo name="Hallbokningsschema 2" showFirstColumn="0" showLastColumn="0" showRowStripes="0" showColumnStripes="0"/>
</table>
</file>

<file path=xl/tables/table3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4DB5033-88FD-45F1-931E-69D8428EB7E0}" name="Tabell538" displayName="Tabell538" ref="A21:F26" totalsRowShown="0" headerRowDxfId="2490" dataDxfId="2489">
  <autoFilter ref="A21:F26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7C5093A-2C9D-407E-9A99-BCF6B7995812}" name="DAG" dataDxfId="1226">
      <calculatedColumnFormula>PROPER(TEXT(B22, "dddd"))</calculatedColumnFormula>
    </tableColumn>
    <tableColumn id="2" xr3:uid="{74679410-82F2-4A02-A15E-58E36D7F7E08}" name="DATUM" dataDxfId="1224">
      <calculatedColumnFormula>Fredag51</calculatedColumnFormula>
    </tableColumn>
    <tableColumn id="3" xr3:uid="{DBEB1A14-88C1-405C-A5E9-C81B55DC1BD8}" name="Tid1" dataDxfId="1225"/>
    <tableColumn id="4" xr3:uid="{84C79675-68C9-4CFF-A1A0-31BF2751D72F}" name="TID" dataDxfId="2488"/>
    <tableColumn id="5" xr3:uid="{D59BFC8D-7666-4738-8604-01E1B4561C05}" name="ANTAL" dataDxfId="2487"/>
    <tableColumn id="6" xr3:uid="{3F03288B-21F0-4B60-8217-26B784DBBC1C}" name="GRUPP/LAG/SKOLA/ETC." dataDxfId="2486"/>
  </tableColumns>
  <tableStyleInfo name="Hallbokningsschema 2" showFirstColumn="0" showLastColumn="0" showRowStripes="0" showColumnStripes="0"/>
</table>
</file>

<file path=xl/tables/table3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74606C4-121B-44A0-B7C0-2EEE36D9C859}" name="Tabell639" displayName="Tabell639" ref="A27:F29" totalsRowShown="0" headerRowDxfId="2485" dataDxfId="2484">
  <autoFilter ref="A27:F29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DF7D057-B9B3-4229-9887-5593E3B53C6E}" name="DAG" dataDxfId="1223">
      <calculatedColumnFormula>PROPER(TEXT(B28, "dddd"))</calculatedColumnFormula>
    </tableColumn>
    <tableColumn id="2" xr3:uid="{8E34DCD2-7E26-4BDD-A8A6-5437165D6694}" name="DATUM" dataDxfId="1221">
      <calculatedColumnFormula>Lördag51</calculatedColumnFormula>
    </tableColumn>
    <tableColumn id="3" xr3:uid="{0F342A1C-C01A-4FAC-9D6B-A5C5F762FA21}" name="Tid1" dataDxfId="1222"/>
    <tableColumn id="4" xr3:uid="{82B62649-03B2-4408-B4E3-DD38AE6EE2A0}" name="TID" dataDxfId="2483"/>
    <tableColumn id="5" xr3:uid="{E45D732C-0DF4-43BF-B17A-2CF4A9FD6F56}" name="ANTAL" dataDxfId="2482"/>
    <tableColumn id="6" xr3:uid="{80B57B38-F4AA-48E0-A9BF-211F5AA83B53}" name="GRUPP/LAG/SKOLA/ETC." dataDxfId="2481"/>
  </tableColumns>
  <tableStyleInfo name="Hallbokningsschema 2" showFirstColumn="0" showLastColumn="0" showRowStripes="0" showColumnStripes="0"/>
</table>
</file>

<file path=xl/tables/table3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B9645D1-3239-4D8D-AA19-F7B5634F5514}" name="Tabell740" displayName="Tabell740" ref="A30:F31" totalsRowShown="0" headerRowDxfId="2480" dataDxfId="2479">
  <autoFilter ref="A30:F31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02FED6C-1861-4E60-A2C5-EC2860C2CF8F}" name="DAG" dataDxfId="1220">
      <calculatedColumnFormula>PROPER(TEXT(B31, "dddd"))</calculatedColumnFormula>
    </tableColumn>
    <tableColumn id="2" xr3:uid="{3BB3B2C2-4589-46EA-BD3D-307161A7E633}" name="DATUM" dataDxfId="1218">
      <calculatedColumnFormula>Söndag51</calculatedColumnFormula>
    </tableColumn>
    <tableColumn id="3" xr3:uid="{55E1F758-5458-4F41-AE2D-E7101CA968A7}" name="Tid1" dataDxfId="1219"/>
    <tableColumn id="4" xr3:uid="{6504AB29-6D7E-4B6F-B9FE-C9CD0DED6261}" name="TID" dataDxfId="2478"/>
    <tableColumn id="5" xr3:uid="{B7DCEBAC-B13A-43BB-B352-7FDB5A73FEDB}" name="ANTAL" dataDxfId="2477"/>
    <tableColumn id="6" xr3:uid="{71740AB2-B56F-4B4A-96CB-814FD721276B}" name="GRUPP/LAG/SKOLA/ETC." dataDxfId="2476"/>
  </tableColumns>
  <tableStyleInfo name="Hallbokningsschema 2" showFirstColumn="0" showLastColumn="0" showRowStripes="0" showColumnStripes="0"/>
</table>
</file>

<file path=xl/tables/table3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848A5CB-312C-4689-8F20-A0AB60EFF938}" name="Tabell13441" displayName="Tabell13441" ref="A2:F3" totalsRowShown="0" headerRowDxfId="2475" dataDxfId="2474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E1563EB-AF0A-4FF4-AE2E-83060F4AB44D}" name="DAG" dataDxfId="1217">
      <calculatedColumnFormula>PROPER(TEXT(B3, "dddd"))</calculatedColumnFormula>
    </tableColumn>
    <tableColumn id="2" xr3:uid="{7B768937-563E-415A-8CE8-04A82B5EAF73}" name="DATUM" dataDxfId="1215">
      <calculatedColumnFormula>Måndag52</calculatedColumnFormula>
    </tableColumn>
    <tableColumn id="3" xr3:uid="{725E0559-4772-4EC0-9C3C-A735A347CB3A}" name="Tid1" dataDxfId="1216"/>
    <tableColumn id="4" xr3:uid="{A3AA32E7-7B8F-487E-9331-11D42A80424E}" name="TID" dataDxfId="2473"/>
    <tableColumn id="5" xr3:uid="{7B0F1991-E704-4D57-95C0-5550B5466B27}" name="ANTAL" dataDxfId="2472"/>
    <tableColumn id="6" xr3:uid="{8D159AE0-8057-4A05-95D6-35033FDB010C}" name="GRUPP/LAG/SKOLA/ETC." dataDxfId="2471"/>
  </tableColumns>
  <tableStyleInfo name="Hallbokningsschema 2" showFirstColumn="0" showLastColumn="0" showRowStripes="0" showColumnStripes="0"/>
</table>
</file>

<file path=xl/tables/table3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DC49DBAD-8848-4BF8-A153-99B8647BEEBE}" name="Tabell23542" displayName="Tabell23542" ref="A4:F5" totalsRowShown="0" headerRowDxfId="2470" dataDxfId="2469">
  <autoFilter ref="A4:F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8703675-55CA-42C5-AE29-2CC016C88E57}" name="DAG" dataDxfId="1214">
      <calculatedColumnFormula>PROPER(TEXT(B5, "dddd"))</calculatedColumnFormula>
    </tableColumn>
    <tableColumn id="2" xr3:uid="{11672873-7789-4F80-B639-F8FFD1DC2F17}" name="DATUM" dataDxfId="1212">
      <calculatedColumnFormula>Tisdag52</calculatedColumnFormula>
    </tableColumn>
    <tableColumn id="3" xr3:uid="{00BAB582-DC0A-4470-9FED-4DCC5F64E23E}" name="Tid1" dataDxfId="1213"/>
    <tableColumn id="4" xr3:uid="{F271A453-CCE2-4130-B1F8-252BDA472260}" name="TID" dataDxfId="2468"/>
    <tableColumn id="5" xr3:uid="{AC660F43-FA34-4536-8793-068C63F163A6}" name="ANTAL" dataDxfId="2467"/>
    <tableColumn id="6" xr3:uid="{C638FD83-9C11-45CB-9DEA-701E32B4EFA3}" name="GRUPP/LAG/SKOLA/ETC." dataDxfId="2466"/>
  </tableColumns>
  <tableStyleInfo name="Hallbokningsschema 2" showFirstColumn="0" showLastColumn="0" showRowStripes="0" showColumnStripes="0"/>
</table>
</file>

<file path=xl/tables/table3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24C9ACF-C46F-48AB-90F4-8D82EF743EBF}" name="Tabell33643" displayName="Tabell33643" ref="A6:F7" totalsRowShown="0" headerRowDxfId="2465" dataDxfId="2464">
  <autoFilter ref="A6:F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1B399D8-0838-45FF-9D6D-6DC2C3C660EB}" name="DAG" dataDxfId="1211">
      <calculatedColumnFormula>PROPER(TEXT(B7, "dddd"))</calculatedColumnFormula>
    </tableColumn>
    <tableColumn id="2" xr3:uid="{E9150367-4ADB-43A8-945E-C2777AF6824F}" name="DATUM" dataDxfId="1209">
      <calculatedColumnFormula>Onsdag52</calculatedColumnFormula>
    </tableColumn>
    <tableColumn id="3" xr3:uid="{B62F58A9-B562-466A-8E5D-DD8771BE193A}" name="Tid1" dataDxfId="1210"/>
    <tableColumn id="4" xr3:uid="{4BF8B2DE-E7E4-4439-B1C6-67F8BBB543C7}" name="TID" dataDxfId="2463"/>
    <tableColumn id="5" xr3:uid="{CCCBC868-4BFB-4521-BBEB-608BF96650A8}" name="ANTAL" dataDxfId="2462"/>
    <tableColumn id="6" xr3:uid="{0159B494-80CB-4DE8-AED1-A98C61D22E9C}" name="GRUPP/LAG/SKOLA/ETC." dataDxfId="2461"/>
  </tableColumns>
  <tableStyleInfo name="Hallbokningsschema 2" showFirstColumn="0" showLastColumn="0" showRowStripes="0" showColumnStripes="0"/>
</table>
</file>

<file path=xl/tables/table3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70FC0E8-C6E1-4C2A-BF19-96045B3420B1}" name="Tabell43744" displayName="Tabell43744" ref="A8:F9" totalsRowShown="0" headerRowDxfId="2460" dataDxfId="2459">
  <autoFilter ref="A8:F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36223BC-557D-43E2-B822-F3B51B837F27}" name="DAG" dataDxfId="1208">
      <calculatedColumnFormula>PROPER(TEXT(B9, "dddd"))</calculatedColumnFormula>
    </tableColumn>
    <tableColumn id="2" xr3:uid="{EDFA3B60-B73C-4D32-8E99-C1ABB06286B4}" name="DATUM" dataDxfId="1206">
      <calculatedColumnFormula>Torsdag52</calculatedColumnFormula>
    </tableColumn>
    <tableColumn id="3" xr3:uid="{B0B19019-B7E3-4D4B-BF8B-26022D158553}" name="Tid1" dataDxfId="1207"/>
    <tableColumn id="4" xr3:uid="{3705B80A-4359-4622-AE35-A721F87649BF}" name="TID" dataDxfId="2458"/>
    <tableColumn id="5" xr3:uid="{EEF2C512-F780-4757-A7DF-5D4910C59B2D}" name="ANTAL" dataDxfId="2457"/>
    <tableColumn id="6" xr3:uid="{68B26B30-757A-4A68-9679-1333A9B863F1}" name="GRUPP/LAG/SKOLA/ETC." dataDxfId="2456"/>
  </tableColumns>
  <tableStyleInfo name="Hallbokningsschema 2" showFirstColumn="0" showLastColumn="0" showRowStripes="0" showColumnStripes="0"/>
</table>
</file>

<file path=xl/tables/table3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DDD9F3EB-9D57-4765-BC71-1C3677FBDBE4}" name="Tabell53845" displayName="Tabell53845" ref="A10:F11" totalsRowShown="0" headerRowDxfId="2455" dataDxfId="2454">
  <autoFilter ref="A10:F1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C14F7A9-6094-47D9-8368-D15BA46191F7}" name="DAG" dataDxfId="1205">
      <calculatedColumnFormula>PROPER(TEXT(B11, "dddd"))</calculatedColumnFormula>
    </tableColumn>
    <tableColumn id="2" xr3:uid="{F444B03E-E22F-4B9F-AF01-7A4F6EC11C7B}" name="DATUM" dataDxfId="1203">
      <calculatedColumnFormula>Fredag52</calculatedColumnFormula>
    </tableColumn>
    <tableColumn id="3" xr3:uid="{3D4715EE-1A6E-42C1-82AC-DEE1BC10F376}" name="Tid1" dataDxfId="1204"/>
    <tableColumn id="4" xr3:uid="{33721CAF-6072-457D-8B88-3D8CF27FF8D6}" name="TID" dataDxfId="2453"/>
    <tableColumn id="5" xr3:uid="{F91F4E94-5BC1-4174-A7EA-E0E721EC8670}" name="ANTAL" dataDxfId="2452"/>
    <tableColumn id="6" xr3:uid="{E7363408-824B-4013-8FBB-0E947EAA3740}" name="GRUPP/LAG/SKOLA/ETC." dataDxfId="2451"/>
  </tableColumns>
  <tableStyleInfo name="Hallbokningsschema 2" showFirstColumn="0" showLastColumn="0" showRowStripes="0" showColumnStripes="0"/>
</table>
</file>

<file path=xl/tables/table3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1AC613A-A00C-4771-9F33-C5016FD0AE2C}" name="Tabell63946" displayName="Tabell63946" ref="A12:F13" totalsRowShown="0" headerRowDxfId="2450" dataDxfId="2449">
  <autoFilter ref="A12:F1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5429A8E-1066-4CAC-90E0-B718E40F5620}" name="DAG" dataDxfId="1202">
      <calculatedColumnFormula>PROPER(TEXT(B13, "dddd"))</calculatedColumnFormula>
    </tableColumn>
    <tableColumn id="2" xr3:uid="{8E5E864F-8B9D-4D1C-AFD1-61147681858B}" name="DATUM" dataDxfId="1200">
      <calculatedColumnFormula>Lördag52</calculatedColumnFormula>
    </tableColumn>
    <tableColumn id="3" xr3:uid="{3CCBEEFF-E613-43EE-B741-B912EC31F362}" name="Tid1" dataDxfId="1201"/>
    <tableColumn id="4" xr3:uid="{92122AE2-D7EB-4E4A-9731-224BEF321686}" name="TID" dataDxfId="2448"/>
    <tableColumn id="5" xr3:uid="{73836FFD-52B9-48F6-ABEF-494D12622EB0}" name="ANTAL" dataDxfId="2447"/>
    <tableColumn id="6" xr3:uid="{9F8620FA-320B-479C-B7DB-EB247658D307}" name="GRUPP/LAG/SKOLA/ETC." dataDxfId="2446"/>
  </tableColumns>
  <tableStyleInfo name="Hallbokningsschema 2" showFirstColumn="0" showLastColumn="0" showRowStripes="0" showColumnStripes="0"/>
</table>
</file>

<file path=xl/tables/table3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312068E8-5134-4551-8E87-01139880F385}" name="Tabell74047" displayName="Tabell74047" ref="A14:F15" totalsRowShown="0" headerRowDxfId="2445" dataDxfId="2444">
  <autoFilter ref="A14:F1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1E20A0E-4103-4BDB-9D87-6578CB1CB3C4}" name="DAG" dataDxfId="1199">
      <calculatedColumnFormula>PROPER(TEXT(B15, "dddd"))</calculatedColumnFormula>
    </tableColumn>
    <tableColumn id="2" xr3:uid="{3159AEC8-2A6A-463D-8B97-93AC2B6A0745}" name="DATUM" dataDxfId="1197">
      <calculatedColumnFormula>Söndag52</calculatedColumnFormula>
    </tableColumn>
    <tableColumn id="3" xr3:uid="{907495CA-2FE6-4360-BF0F-E790A132602F}" name="Tid1" dataDxfId="1198"/>
    <tableColumn id="4" xr3:uid="{8DA4C954-64E1-41CA-B874-0DF886271C6B}" name="TID" dataDxfId="2443"/>
    <tableColumn id="5" xr3:uid="{D170DCB9-6DA2-4E78-AA24-C46D99ABC6FC}" name="ANTAL" dataDxfId="2442"/>
    <tableColumn id="6" xr3:uid="{71C2FB21-56A5-4BA7-ACFD-A6A35C91B92A}" name="GRUPP/LAG/SKOLA/ETC." dataDxfId="2441"/>
  </tableColumns>
  <tableStyleInfo name="Hallbokningsschema 2" showFirstColumn="0" showLastColumn="0" showRowStripes="0" showColumnStripes="0"/>
</table>
</file>

<file path=xl/tables/table3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D5340335-67AA-4F9D-A8F7-D96D686B1791}" name="Tabell13441485576839097104111118125139146153160167174181188195202" displayName="Tabell13441485576839097104111118125139146153160167174181188195202" ref="A2:F3" totalsRowShown="0" headerRowDxfId="2440" dataDxfId="2439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B0C4773-1052-470A-8110-F9FB9560C12C}" name="DAG" dataDxfId="1196">
      <calculatedColumnFormula>PROPER(TEXT(B3, "dddd"))</calculatedColumnFormula>
    </tableColumn>
    <tableColumn id="2" xr3:uid="{E1FB2E30-450D-405F-912F-F083B979800A}" name="DATUM" dataDxfId="1194">
      <calculatedColumnFormula>Måndag53</calculatedColumnFormula>
    </tableColumn>
    <tableColumn id="3" xr3:uid="{CA3D0473-ED0A-495D-9C05-83581D8A3B15}" name="Tid1" dataDxfId="1195"/>
    <tableColumn id="4" xr3:uid="{C5F0905B-A9CD-4029-B478-6D2C9B2D0D90}" name="TID" dataDxfId="2438"/>
    <tableColumn id="5" xr3:uid="{5FDCB85F-98EA-4F81-9DB3-382FD9FCEA53}" name="ANTAL" dataDxfId="2437"/>
    <tableColumn id="6" xr3:uid="{9FC94861-4D50-4A43-A2FF-3448EA0C4CC4}" name="GRUPP/LAG/SKOLA/ETC." dataDxfId="2436"/>
  </tableColumns>
  <tableStyleInfo name="Hallbokningsschema 2" showFirstColumn="0" showLastColumn="0" showRowStripes="0" showColumnStripes="0"/>
</table>
</file>

<file path=xl/tables/table3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8D47C1B4-53FB-460A-AF39-0043E37249DD}" name="Tabell23542495677849198105112119126140147154161168175182189196203" displayName="Tabell23542495677849198105112119126140147154161168175182189196203" ref="A4:F5" totalsRowShown="0" headerRowDxfId="2435" dataDxfId="2434">
  <autoFilter ref="A4:F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A6D23A2-4E1A-4F26-A420-0D8905DF6245}" name="DAG" dataDxfId="1193">
      <calculatedColumnFormula>PROPER(TEXT(B5, "dddd"))</calculatedColumnFormula>
    </tableColumn>
    <tableColumn id="2" xr3:uid="{68991D9E-4B1E-4848-B8AE-949EAD629DFB}" name="DATUM" dataDxfId="1191">
      <calculatedColumnFormula>Tisdag53</calculatedColumnFormula>
    </tableColumn>
    <tableColumn id="3" xr3:uid="{C63E8184-BF94-439E-865F-FA654A1C36D4}" name="Tid1" dataDxfId="1192"/>
    <tableColumn id="4" xr3:uid="{482324B7-3E39-4666-AF07-ADCED9F7CC0D}" name="TID" dataDxfId="2433"/>
    <tableColumn id="5" xr3:uid="{52D33DEE-9F7A-4D5F-9CC2-4FD06900BD9B}" name="ANTAL" dataDxfId="2432"/>
    <tableColumn id="6" xr3:uid="{36E8B5D5-D24A-42A2-9460-5BBC95AC96DA}" name="GRUPP/LAG/SKOLA/ETC." dataDxfId="2431"/>
  </tableColumns>
  <tableStyleInfo name="Hallbokningsschema 2" showFirstColumn="0" showLastColumn="0" showRowStripes="0" showColumnStripes="0"/>
</table>
</file>

<file path=xl/tables/table3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51F0B092-1A10-4B56-8E18-38435B62F3F0}" name="Tabell33643505778859299106113120127141148155162169176183190197204" displayName="Tabell33643505778859299106113120127141148155162169176183190197204" ref="A6:F7" totalsRowShown="0" headerRowDxfId="2430" dataDxfId="2429">
  <autoFilter ref="A6:F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BA04AD4-3D6D-4600-9823-08399E40B765}" name="DAG" dataDxfId="1190">
      <calculatedColumnFormula>PROPER(TEXT(B7, "dddd"))</calculatedColumnFormula>
    </tableColumn>
    <tableColumn id="2" xr3:uid="{31D02185-D65A-4F74-B5C1-AA28DF30BF12}" name="DATUM" dataDxfId="1188">
      <calculatedColumnFormula>Onsdag53</calculatedColumnFormula>
    </tableColumn>
    <tableColumn id="3" xr3:uid="{4313B43C-E8C9-4208-9D6B-E051AAABCD90}" name="Tid1" dataDxfId="1189"/>
    <tableColumn id="4" xr3:uid="{D36EFFD5-BD76-493A-8E33-5E205C373D49}" name="TID" dataDxfId="2428"/>
    <tableColumn id="5" xr3:uid="{603CFC75-CA4A-4A41-8D9A-B2E857A8C035}" name="ANTAL" dataDxfId="2427"/>
    <tableColumn id="6" xr3:uid="{EC1DA1EF-306C-4374-A8AD-EB1FBF308B7B}" name="GRUPP/LAG/SKOLA/ETC." dataDxfId="2426"/>
  </tableColumns>
  <tableStyleInfo name="Hallbokningsschema 2" showFirstColumn="0" showLastColumn="0" showRowStripes="0" showColumnStripes="0"/>
</table>
</file>

<file path=xl/tables/table3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8D1F100C-6B71-4A12-BC3C-9E1CD50CC11F}" name="Tabell437445158798693100107114121128142149156163170177184191198205" displayName="Tabell437445158798693100107114121128142149156163170177184191198205" ref="A8:F9" totalsRowShown="0" headerRowDxfId="2425" dataDxfId="2424">
  <autoFilter ref="A8:F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0523534-8CC7-493D-B779-A785C9EB7601}" name="DAG" dataDxfId="1187">
      <calculatedColumnFormula>PROPER(TEXT(B9, "dddd"))</calculatedColumnFormula>
    </tableColumn>
    <tableColumn id="2" xr3:uid="{A3969927-DF16-482A-A5B3-38DF0697AF56}" name="DATUM" dataDxfId="1185">
      <calculatedColumnFormula>Torsdag53</calculatedColumnFormula>
    </tableColumn>
    <tableColumn id="3" xr3:uid="{F852004B-3C3B-4F4D-87AC-133CF1B4A854}" name="Tid1" dataDxfId="1186"/>
    <tableColumn id="4" xr3:uid="{4AA8FD7D-D0D2-4DA2-AC80-7B425CC40E0D}" name="TID" dataDxfId="2423"/>
    <tableColumn id="5" xr3:uid="{7070CA66-A4A7-488A-80DC-A5BC390C3166}" name="ANTAL" dataDxfId="2422"/>
    <tableColumn id="6" xr3:uid="{A943DBB5-A496-49CF-8AD2-BDC803CE8B22}" name="GRUPP/LAG/SKOLA/ETC." dataDxfId="2421"/>
  </tableColumns>
  <tableStyleInfo name="Hallbokningsschema 2" showFirstColumn="0" showLastColumn="0" showRowStripes="0" showColumnStripes="0"/>
</table>
</file>

<file path=xl/tables/table3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517C4BF7-EBE7-4218-874A-146C74C5FC65}" name="Tabell538455259808794101108115122129143150157164171178185192199206" displayName="Tabell538455259808794101108115122129143150157164171178185192199206" ref="A10:F11" totalsRowShown="0" headerRowDxfId="2420" dataDxfId="2419">
  <autoFilter ref="A10:F1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3992A98-EF29-4CE5-B73F-E1EB291A6D3F}" name="DAG" dataDxfId="1184">
      <calculatedColumnFormula>PROPER(TEXT(B11, "dddd"))</calculatedColumnFormula>
    </tableColumn>
    <tableColumn id="2" xr3:uid="{180B6429-E96D-48A9-B6D9-067760E18BAE}" name="DATUM" dataDxfId="1182">
      <calculatedColumnFormula>Fredag53</calculatedColumnFormula>
    </tableColumn>
    <tableColumn id="3" xr3:uid="{86BE1BFE-C911-4CD5-966F-EC975C0A1612}" name="Tid1" dataDxfId="1183"/>
    <tableColumn id="4" xr3:uid="{E0A9280F-03D7-44B9-96FD-CB91B2EC1058}" name="TID" dataDxfId="2418"/>
    <tableColumn id="5" xr3:uid="{983486FF-7226-4F73-BB66-6F41BC5E854D}" name="ANTAL" dataDxfId="2417"/>
    <tableColumn id="6" xr3:uid="{F924C31A-601B-4BF6-B56F-25F2EE82B42F}" name="GRUPP/LAG/SKOLA/ETC." dataDxfId="2416"/>
  </tableColumns>
  <tableStyleInfo name="Hallbokningsschema 2" showFirstColumn="0" showLastColumn="0" showRowStripes="0" showColumnStripes="0"/>
</table>
</file>

<file path=xl/tables/table3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0B1E5CDA-1C9E-47A5-BC7A-C5F307DABABF}" name="Tabell639465360818895102109116123130144151158165172179186193200207" displayName="Tabell639465360818895102109116123130144151158165172179186193200207" ref="A12:F13" totalsRowShown="0" headerRowDxfId="2415" dataDxfId="2414">
  <autoFilter ref="A12:F1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B6B69F9-255C-4CD8-BFD6-91006CC9A2ED}" name="DAG" dataDxfId="1181">
      <calculatedColumnFormula>PROPER(TEXT(B13, "dddd"))</calculatedColumnFormula>
    </tableColumn>
    <tableColumn id="2" xr3:uid="{7196E245-DC21-4B82-B99F-9E4A85790DA4}" name="DATUM" dataDxfId="1179">
      <calculatedColumnFormula>Lördag53</calculatedColumnFormula>
    </tableColumn>
    <tableColumn id="3" xr3:uid="{303E7E49-59DB-4A24-AC77-E0DA9CDBE4B6}" name="Tid1" dataDxfId="1180"/>
    <tableColumn id="4" xr3:uid="{A7F89350-3C30-4F69-B6B5-8DB58F1B8CDC}" name="TID" dataDxfId="2413"/>
    <tableColumn id="5" xr3:uid="{0B08824B-83CD-40F5-ABDD-03FED43804B5}" name="ANTAL" dataDxfId="2412"/>
    <tableColumn id="6" xr3:uid="{C902DEAD-695A-4605-8EEF-CEEEB28F87BD}" name="GRUPP/LAG/SKOLA/ETC." dataDxfId="2411"/>
  </tableColumns>
  <tableStyleInfo name="Hallbokningsschema 2" showFirstColumn="0" showLastColumn="0" showRowStripes="0" showColumnStripes="0"/>
</table>
</file>

<file path=xl/tables/table3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EFF0C3FD-8D4D-4207-AE12-3E671E235F00}" name="Tabell740475461828996103110117124131145152159166173180187194201208" displayName="Tabell740475461828996103110117124131145152159166173180187194201208" ref="A14:F15" totalsRowShown="0" headerRowDxfId="2410" dataDxfId="2409">
  <autoFilter ref="A14:F1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F7847B3-3B91-4E44-AEAD-146DC3E96851}" name="DAG" dataDxfId="2">
      <calculatedColumnFormula>PROPER(TEXT(B15, "dddd"))</calculatedColumnFormula>
    </tableColumn>
    <tableColumn id="2" xr3:uid="{8007D619-7798-4728-8808-84D9B17FF164}" name="DATUM" dataDxfId="0">
      <calculatedColumnFormula>Söndag53</calculatedColumnFormula>
    </tableColumn>
    <tableColumn id="3" xr3:uid="{67AC38DE-A570-4FAE-8D6B-92352E7E4A61}" name="Tid1" dataDxfId="1"/>
    <tableColumn id="4" xr3:uid="{6D79FE15-CF50-4129-A229-A40FB80E63B7}" name="TID" dataDxfId="2408"/>
    <tableColumn id="5" xr3:uid="{158C23C1-BAB1-4B96-8A41-CA2E7D2DC053}" name="ANTAL" dataDxfId="2407"/>
    <tableColumn id="6" xr3:uid="{3E555173-0011-4235-9EA5-99BCB6019627}" name="GRUPP/LAG/SKOLA/ETC." dataDxfId="2406"/>
  </tableColumns>
  <tableStyleInfo name="Hallbokningsschema 2" showFirstColumn="0" showLastColumn="0" showRowStripes="0" showColumnStripes="0"/>
</table>
</file>

<file path=xl/tables/table3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34E3C3-A365-4903-904B-D9AFF673940C}" name="TabellKontaktuppgifter" displayName="TabellKontaktuppgifter" ref="A1:J300" totalsRowShown="0" headerRowDxfId="2405" dataDxfId="2404" tableBorderDxfId="2403">
  <autoFilter ref="A1:J300" xr:uid="{8E34E3C3-A365-4903-904B-D9AFF673940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xmlns:xlrd2="http://schemas.microsoft.com/office/spreadsheetml/2017/richdata2" ref="A2:J300">
    <sortCondition ref="A1:A300"/>
  </sortState>
  <tableColumns count="10">
    <tableColumn id="1" xr3:uid="{BDE36FC7-99FD-4B25-AB72-EF5027CBD735}" name="GRUPP/LAG/SKOLA/ETC." dataDxfId="2402"/>
    <tableColumn id="2" xr3:uid="{F12C3B27-9197-4885-A096-05B3004239D5}" name="FAKTURERINGSADRESS" dataDxfId="2401"/>
    <tableColumn id="3" xr3:uid="{519B65E6-1FBF-4DD8-90F2-D18F3B942609}" name="MEJLFAKTURERING" dataDxfId="2400"/>
    <tableColumn id="4" xr3:uid="{E262B04F-B365-4D9B-B8B2-F33A0EC5769A}" name="REFERENS" dataDxfId="2399"/>
    <tableColumn id="5" xr3:uid="{49CD84BB-1E5D-4D2E-BC5E-5A112D5FBB2E}" name="KONTAKT" dataDxfId="2398"/>
    <tableColumn id="6" xr3:uid="{D3851653-9530-42FA-ACA8-5722B8939862}" name="TEL. KONTAKTPERSON" dataDxfId="2397"/>
    <tableColumn id="7" xr3:uid="{AD274B62-BFAD-411B-89B3-EA4E498B679F}" name="E-POST, KONTAKTPERSON" dataDxfId="2396"/>
    <tableColumn id="8" xr3:uid="{3830F258-6F73-4AAC-A4F3-066AE716D720}" name="ORGANISATIONSNUMMER" dataDxfId="2395"/>
    <tableColumn id="9" xr3:uid="{56257954-AAE6-4B60-89E9-FF359AF3B275}" name="PEPPOL-ID" dataDxfId="2394"/>
    <tableColumn id="10" xr3:uid="{718619C3-7FAD-4E9D-816C-501734323DB9}" name="GLN-NUMMER" dataDxfId="2393"/>
  </tableColumns>
  <tableStyleInfo showFirstColumn="0" showLastColumn="0" showRowStripes="0" showColumnStripes="0"/>
</table>
</file>

<file path=xl/tables/table3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CD277C-FCAD-474A-B88F-CC49CAC3EE7D}" name="TabellAntal" displayName="TabellAntal" ref="A1:A150" totalsRowShown="0" headerRowDxfId="2392" dataDxfId="2391">
  <autoFilter ref="A1:A150" xr:uid="{94CD277C-FCAD-474A-B88F-CC49CAC3EE7D}">
    <filterColumn colId="0" hiddenButton="1"/>
  </autoFilter>
  <tableColumns count="1">
    <tableColumn id="1" xr3:uid="{1641851F-4C7F-4019-A6A4-FDF386B1B08E}" name="Antal" dataDxfId="2390"/>
  </tableColumns>
  <tableStyleInfo name="TableStyleMedium1" showFirstColumn="0" showLastColumn="0" showRowStripes="0" showColumnStripes="0"/>
</table>
</file>

<file path=xl/tables/table3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90CF29-4F2D-43EA-992B-5227B02019F7}" name="TabellPris" displayName="TabellPris" ref="C1:C300" totalsRowShown="0" headerRowDxfId="2389" dataDxfId="2388">
  <autoFilter ref="C1:C300" xr:uid="{4390CF29-4F2D-43EA-992B-5227B02019F7}">
    <filterColumn colId="0" hiddenButton="1"/>
  </autoFilter>
  <tableColumns count="1">
    <tableColumn id="1" xr3:uid="{52042690-94B5-43C8-97C3-6F2B29DF38E9}" name="Pris" dataDxfId="2387"/>
  </tableColumns>
  <tableStyleInfo name="TableStyleMedium1" showFirstColumn="0" showLastColumn="0" showRowStripes="0" showColumnStripes="0"/>
</table>
</file>

<file path=xl/tables/table3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7DC17DE-394A-49A5-AABA-05E953128418}" name="TabellPrisklass" displayName="TabellPrisklass" ref="E1:E22" totalsRowShown="0" headerRowDxfId="2386">
  <autoFilter ref="E1:E22" xr:uid="{67DC17DE-394A-49A5-AABA-05E953128418}">
    <filterColumn colId="0" hiddenButton="1"/>
  </autoFilter>
  <tableColumns count="1">
    <tableColumn id="1" xr3:uid="{7AC40A1A-32AF-456A-81D4-94D46BF37869}" name="Prisklass"/>
  </tableColumns>
  <tableStyleInfo name="TableStyleMedium1" showFirstColumn="0" showLastColumn="0" showRowStripes="0" showColumnStripes="0"/>
</table>
</file>

<file path=xl/tables/table3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7" xr:uid="{2605471A-A802-4B4A-B106-4EA01F79CF35}" name="Tabell377" displayName="Tabell377" ref="O1:P5" totalsRowShown="0" headerRowDxfId="2385">
  <autoFilter ref="O1:P5" xr:uid="{2605471A-A802-4B4A-B106-4EA01F79CF35}"/>
  <tableColumns count="2">
    <tableColumn id="1" xr3:uid="{2A927138-A7B1-49B5-AAD9-DCBB02C78B0E}" name="Bokn. Bekräftad av" dataDxfId="2384"/>
    <tableColumn id="2" xr3:uid="{1E95B5F7-3B89-41B2-8B39-A75477D636A8}" name="Mejladress"/>
  </tableColumns>
  <tableStyleInfo name="TableStyleLight8" showFirstColumn="0" showLastColumn="0" showRowStripes="1" showColumnStripes="0"/>
</table>
</file>

<file path=xl/tables/table3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0" xr:uid="{0A3DC570-4546-43B4-9B17-48F8004AE638}" name="Tabell380" displayName="Tabell380" ref="BF1:BF37" totalsRowShown="0" headerRowDxfId="2383" dataDxfId="2382">
  <autoFilter ref="BF1:BF37" xr:uid="{0A3DC570-4546-43B4-9B17-48F8004AE638}"/>
  <tableColumns count="1">
    <tableColumn id="1" xr3:uid="{1B80A75C-476B-431D-B4E6-77AA303D8094}" name="Faktureras ej här" dataDxfId="2381"/>
  </tableColumns>
  <tableStyleInfo name="Tabellformat 1" showFirstColumn="0" showLastColumn="0" showRowStripes="1" showColumnStripes="0"/>
</table>
</file>

<file path=xl/tables/table3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6" xr:uid="{CBE5A4C8-87C8-4F74-8A17-07B014153220}" name="Tabell2377" displayName="Tabell2377" ref="A39:L135" totalsRowCount="1" headerRowDxfId="2380" dataDxfId="2379" totalsRowDxfId="2377" tableBorderDxfId="2378" totalsRowBorderDxfId="2376">
  <autoFilter ref="A39:L134" xr:uid="{1B7C25DC-9EBC-482A-9959-03D151A1E3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49F65B62-DCE2-4188-B9D1-E3D48A7C2C4D}" name="Dag" dataDxfId="2375" totalsRowDxfId="2374">
      <calculatedColumnFormula>IF(Sammanställning!$F2&lt;&gt;"",Sammanställning!A2,"")</calculatedColumnFormula>
    </tableColumn>
    <tableColumn id="2" xr3:uid="{1EA8821C-8F38-409F-B798-2D8BDBA1A894}" name="Datum" dataDxfId="2373" totalsRowDxfId="2372">
      <calculatedColumnFormula>IF(Sammanställning!$F2&lt;&gt;"",Sammanställning!B2,"")</calculatedColumnFormula>
    </tableColumn>
    <tableColumn id="3" xr3:uid="{DAA2C7D6-A6E1-479E-95A6-168997E45AF6}" name="Tid" dataDxfId="2371" totalsRowDxfId="2370">
      <calculatedColumnFormula>IF(Sammanställning!$F2&lt;&gt;"",Sammanställning!C2,"")</calculatedColumnFormula>
    </tableColumn>
    <tableColumn id="4" xr3:uid="{066A824F-4A82-43B3-BE1C-CE65063B9E77}" name="Kolumn1" dataDxfId="2369" totalsRowDxfId="2368">
      <calculatedColumnFormula>IF(Sammanställning!$F2&lt;&gt;"",Sammanställning!D2,"")</calculatedColumnFormula>
    </tableColumn>
    <tableColumn id="5" xr3:uid="{08F725BC-39F1-46E8-B45E-B441C4C859A2}" name="Antal" dataDxfId="2367" totalsRowDxfId="2366">
      <calculatedColumnFormula>IF(Sammanställning!$F2&lt;&gt;"",Sammanställning!E2,"")</calculatedColumnFormula>
    </tableColumn>
    <tableColumn id="14" xr3:uid="{63C7292F-256A-4CA2-8B7D-C89CF9C0B980}" name="Avbokning" dataDxfId="2365" totalsRowDxfId="2364">
      <calculatedColumnFormula>IF(Sammanställning!$F2&lt;&gt;"",Sammanställning!K2,"")</calculatedColumnFormula>
    </tableColumn>
    <tableColumn id="6" xr3:uid="{ECFCD593-24BC-45C4-9994-74A4AFA34B41}" name="Övrigt" totalsRowLabel="Forts. nästa sida" dataDxfId="2363" totalsRowDxfId="2362">
      <calculatedColumnFormula>IF(Sammanställning!$F2&lt;&gt;"",Sammanställning!G2,"")</calculatedColumnFormula>
    </tableColumn>
    <tableColumn id="7" xr3:uid="{88A301C3-1FF5-4C56-9919-92C143DDB0ED}" name="Kolumn4" dataDxfId="2361" totalsRowDxfId="2360">
      <calculatedColumnFormula>IF(Sammanställning!$F2&lt;&gt;"",Sammanställning!H2,"")</calculatedColumnFormula>
    </tableColumn>
    <tableColumn id="8" xr3:uid="{8C0E8075-59B9-4D39-917C-25661AA3C23A}" name="          Pris" totalsRowLabel="Totalt:" dataDxfId="2359" totalsRowDxfId="2358">
      <calculatedColumnFormula>IF(Sammanställning!$F2&lt;&gt;"",Sammanställning!I2,"")</calculatedColumnFormula>
    </tableColumn>
    <tableColumn id="9" xr3:uid="{C4D43722-2074-49FE-8A2E-7CB29742960C}" name="Summa" totalsRowFunction="sum" dataDxfId="2357" totalsRowDxfId="2356">
      <calculatedColumnFormula>IFERROR(IF(OR(F40=TRUE),0,L40),0)</calculatedColumnFormula>
    </tableColumn>
    <tableColumn id="10" xr3:uid="{76AB7F0A-88B7-41E4-B78C-45E64C4D735A}" name="Antal heltimmar" dataDxfId="2355" totalsRowDxfId="2354">
      <calculatedColumnFormula>IFERROR(ROUNDUP((D40-C40)*24,0),0)</calculatedColumnFormula>
    </tableColumn>
    <tableColumn id="11" xr3:uid="{984DD811-56E0-4E26-BF1F-B296BE0A3053}" name="Pris, beräkning" totalsRowFunction="sum" dataDxfId="2353" totalsRowDxfId="2352">
      <calculatedColumnFormula array="1">IFERROR(_xlfn.IFS(I40="/påbörjad h",H40*K40,I40="/tillfälle",H40,I40="/pers/påbörjad h",E40*H40*K40,I40="/pers",E40*H40,I40="/instruktör",E40*H40,I40="/instruktör/påbörjad h",E40*H40*K40,I40="/st",E40*H40,I40="/bord",E40*H40,I40="",0),0)</calculatedColumnFormula>
    </tableColumn>
  </tableColumns>
  <tableStyleInfo name="Bokningsbekräftelse" showFirstColumn="0" showLastColumn="0" showRowStripes="0" showColumnStripes="0"/>
</table>
</file>

<file path=xl/tables/table3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8" xr:uid="{9BCF9B0D-4B83-47DF-9DFD-6CF00A3FBCB0}" name="Tabell2377379" displayName="Tabell2377379" ref="A39:L135" totalsRowCount="1" headerRowDxfId="2351" dataDxfId="2350" totalsRowDxfId="2348" tableBorderDxfId="2349" totalsRowBorderDxfId="2347">
  <autoFilter ref="A39:L134" xr:uid="{1B7C25DC-9EBC-482A-9959-03D151A1E3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C3946747-B7B1-4DCA-B6F1-B9029A9B9E3F}" name="Dag" dataDxfId="2346" totalsRowDxfId="2345">
      <calculatedColumnFormula>IF(Sammanställning!$F2&lt;&gt;"",Sammanställning!A2,"")</calculatedColumnFormula>
    </tableColumn>
    <tableColumn id="2" xr3:uid="{5402C7EB-77F6-43B9-B5FC-5828E497FBCB}" name="Datum" dataDxfId="2344" totalsRowDxfId="2343">
      <calculatedColumnFormula>IF(Sammanställning!$S2&lt;&gt;"",Sammanställning!O2,"")</calculatedColumnFormula>
    </tableColumn>
    <tableColumn id="3" xr3:uid="{01F1AA62-F0DD-412A-8FB0-96E1A2AB3D9B}" name="Tid" dataDxfId="2342" totalsRowDxfId="2341">
      <calculatedColumnFormula>IF(Sammanställning!$S2&lt;&gt;"",Sammanställning!P2,"")</calculatedColumnFormula>
    </tableColumn>
    <tableColumn id="4" xr3:uid="{9145FB67-CC73-4BD8-90B8-BF4760069CDA}" name="Kolumn1" dataDxfId="2340" totalsRowDxfId="2339">
      <calculatedColumnFormula>IF(Sammanställning!$S2&lt;&gt;"",Sammanställning!Q2,"")</calculatedColumnFormula>
    </tableColumn>
    <tableColumn id="5" xr3:uid="{9D687D07-95FF-43D0-9AB9-3C3068B21401}" name="Antal" dataDxfId="2338" totalsRowDxfId="2337">
      <calculatedColumnFormula>IF(Sammanställning!$S2&lt;&gt;"",Sammanställning!R2,"")</calculatedColumnFormula>
    </tableColumn>
    <tableColumn id="14" xr3:uid="{69259FF0-EF25-4E4E-8D53-49454A8DBE42}" name="Avbokning" dataDxfId="2336" totalsRowDxfId="2335">
      <calculatedColumnFormula>IF(Sammanställning!$S2&lt;&gt;"",Sammanställning!X2,"")</calculatedColumnFormula>
    </tableColumn>
    <tableColumn id="6" xr3:uid="{15BE514F-1D18-4326-911E-5943D0C7CD76}" name="Övrigt" totalsRowLabel="Forts. nästa sida" dataDxfId="2334" totalsRowDxfId="2333">
      <calculatedColumnFormula>IF(Sammanställning!$S2&lt;&gt;"",Sammanställning!T2,"")</calculatedColumnFormula>
    </tableColumn>
    <tableColumn id="7" xr3:uid="{243BA9A2-E85A-433B-A4C1-0D0B0468AFBD}" name="Kolumn4" dataDxfId="2332" totalsRowDxfId="2331">
      <calculatedColumnFormula>IF(Sammanställning!$S2&lt;&gt;"",Sammanställning!U2,"")</calculatedColumnFormula>
    </tableColumn>
    <tableColumn id="8" xr3:uid="{834F5B31-F888-4A21-9933-CD1B0F35AC32}" name="          Pris" totalsRowLabel="Totalt:" dataDxfId="2330" totalsRowDxfId="2329">
      <calculatedColumnFormula>IF(Sammanställning!$S2&lt;&gt;"",Sammanställning!V2,"")</calculatedColumnFormula>
    </tableColumn>
    <tableColumn id="9" xr3:uid="{E1AA124F-BA1F-4359-80A9-7297A3A4D688}" name="Summa" totalsRowFunction="sum" dataDxfId="2328" totalsRowDxfId="2327">
      <calculatedColumnFormula>IFERROR(IF(OR(F40=TRUE),0,L40),0)</calculatedColumnFormula>
    </tableColumn>
    <tableColumn id="10" xr3:uid="{F92BAF11-87B7-4DE9-89FB-A19815FB7024}" name="Antal heltimmar" dataDxfId="2326" totalsRowDxfId="2325">
      <calculatedColumnFormula>IFERROR(ROUNDUP((D40-C40)*24,0),0)</calculatedColumnFormula>
    </tableColumn>
    <tableColumn id="11" xr3:uid="{3D02C2BB-A9FB-4C0B-85D9-8B71059FCA40}" name="Pris, beräkning" totalsRowFunction="sum" dataDxfId="2324" totalsRowDxfId="2323">
      <calculatedColumnFormula array="1">IFERROR(_xlfn.IFS(I40="/påbörjad h",H40*K40,I40="/tillfälle",H40,I40="/pers/påbörjad h",E40*H40*K40,I40="/pers",E40*H40,I40="/instruktör",E40*H40,I40="/instruktör/påbörjad h",E40*H40*K40,I40="/st",E40*H40,I40="/bord",E40*H40,I40="",0),0)</calculatedColumnFormula>
    </tableColumn>
  </tableColumns>
  <tableStyleInfo name="Bokningsbekräftelse" showFirstColumn="0" showLastColumn="0" showRowStripes="0" showColumnStripes="0"/>
</table>
</file>

<file path=xl/tables/table3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9" xr:uid="{D097EA5A-68F3-485A-9C06-4E848161E9E4}" name="Tabell29" displayName="Tabell29" ref="A11:J43" headerRowCount="0" totalsRowCount="1" headerRowDxfId="2322" dataDxfId="2321" totalsRowDxfId="2319" tableBorderDxfId="2320">
  <tableColumns count="10">
    <tableColumn id="1" xr3:uid="{BC64EC3A-873A-428C-883A-479D5F5D5D81}" name="Kolumn1" headerRowDxfId="2318" dataDxfId="2317" totalsRowDxfId="2316">
      <calculatedColumnFormula>IF(Sammanställning!$AF2&lt;&gt;"",Sammanställning!AA2,"")</calculatedColumnFormula>
    </tableColumn>
    <tableColumn id="2" xr3:uid="{7101360D-672D-4361-B429-BB403EFFD23D}" name="Kolumn2" headerRowDxfId="2315" dataDxfId="2314" totalsRowDxfId="2313">
      <calculatedColumnFormula>IF(Sammanställning!$AF2&lt;&gt;"",Sammanställning!AB2,"")</calculatedColumnFormula>
    </tableColumn>
    <tableColumn id="3" xr3:uid="{9209B4E0-B9FD-4757-8285-F9847D063970}" name="Kolumn3" headerRowDxfId="2312" dataDxfId="2311" totalsRowDxfId="2310">
      <calculatedColumnFormula>IF(Sammanställning!$AF2&lt;&gt;"",Sammanställning!AC2,"")</calculatedColumnFormula>
    </tableColumn>
    <tableColumn id="4" xr3:uid="{3A18CF55-CF35-4119-B1FC-752A174C6077}" name="Kolumn4" headerRowDxfId="2309" dataDxfId="2308" totalsRowDxfId="2307">
      <calculatedColumnFormula>IF(Sammanställning!$AF2&lt;&gt;"",Sammanställning!AD2,"")</calculatedColumnFormula>
    </tableColumn>
    <tableColumn id="5" xr3:uid="{4E2DF4B1-1183-46BC-89E9-022BB700AE00}" name="Kolumn5" headerRowDxfId="2306" dataDxfId="2305" totalsRowDxfId="2304">
      <calculatedColumnFormula>IF(Sammanställning!$AF2&lt;&gt;"",Sammanställning!AE2,"")</calculatedColumnFormula>
    </tableColumn>
    <tableColumn id="6" xr3:uid="{9092B6F9-2F2C-43E8-B950-840DED13D8A6}" name="Kolumn6" headerRowDxfId="2303" dataDxfId="2302" totalsRowDxfId="2301">
      <calculatedColumnFormula>IF(Sammanställning!$AF2&lt;&gt;"",Sammanställning!AG2,"")</calculatedColumnFormula>
    </tableColumn>
    <tableColumn id="7" xr3:uid="{274403ED-827C-40D7-AAE6-3880F629B944}" name="Kolumn7" headerRowDxfId="2300" dataDxfId="2299" totalsRowDxfId="2298">
      <calculatedColumnFormula>IF(Sammanställning!$AF2&lt;&gt;"",Sammanställning!AH2,"")</calculatedColumnFormula>
    </tableColumn>
    <tableColumn id="8" xr3:uid="{E5A316EA-5B39-41C7-8D54-CD61822EEEB5}" name="Kolumn8" totalsRowLabel="Totalt:" headerRowDxfId="2297" dataDxfId="2296" totalsRowDxfId="2295">
      <calculatedColumnFormula>IF(Sammanställning!$AF2&lt;&gt;"",Sammanställning!AI2,"")</calculatedColumnFormula>
    </tableColumn>
    <tableColumn id="9" xr3:uid="{2341FBFA-6D23-4E2F-8690-FB1DBB7746B2}" name="Kolumn9" totalsRowFunction="sum" headerRowDxfId="2294" dataDxfId="2293" totalsRowDxfId="2292">
      <calculatedColumnFormula array="1">IFERROR(_xlfn.IFS(H11="/påbörjad h",G11*J11,H11="/tillfälle",G11,H11="/pers/påbörjad h",G11*E11*J11,H11="/pers",G11*E11,H11="/instruktör",G11*E11,H11="/instruktör/påbörjad h",G11*E11*J11,H11="/st",G11*E11,H11="/bord",G11*E11,H11="",0),0)</calculatedColumnFormula>
    </tableColumn>
    <tableColumn id="10" xr3:uid="{0E3634DF-EFE9-49E8-9BAA-1314280E78DB}" name="Kolumn10" headerRowDxfId="2291" dataDxfId="2290" totalsRowDxfId="2289">
      <calculatedColumnFormula>IFERROR(ROUNDUP((D11-C11)*24,0),0)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6" dT="2024-11-18T09:02:26.75" personId="{38C3A224-CC16-43D2-88BF-52B59FED2B5B}" id="{D20C3F57-4202-44AA-B8AB-CF5BBA325A9D}">
    <text>Vid framtida bokningsförfrågningar kommer Johan förmodligen ange felaktig adress då detta skett flertalet gånger. Så byt inte till :Stadsmissionens skolstiftelse, Box 47073, 100 74 Stockholm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1.xml"/><Relationship Id="rId3" Type="http://schemas.openxmlformats.org/officeDocument/2006/relationships/table" Target="../tables/table16.xml"/><Relationship Id="rId7" Type="http://schemas.openxmlformats.org/officeDocument/2006/relationships/table" Target="../tables/table20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9.xml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8.xml"/><Relationship Id="rId3" Type="http://schemas.openxmlformats.org/officeDocument/2006/relationships/table" Target="../tables/table23.xml"/><Relationship Id="rId7" Type="http://schemas.openxmlformats.org/officeDocument/2006/relationships/table" Target="../tables/table27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5.xml"/><Relationship Id="rId3" Type="http://schemas.openxmlformats.org/officeDocument/2006/relationships/table" Target="../tables/table30.xml"/><Relationship Id="rId7" Type="http://schemas.openxmlformats.org/officeDocument/2006/relationships/table" Target="../tables/table34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33.xml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2.xml"/><Relationship Id="rId3" Type="http://schemas.openxmlformats.org/officeDocument/2006/relationships/table" Target="../tables/table37.xml"/><Relationship Id="rId7" Type="http://schemas.openxmlformats.org/officeDocument/2006/relationships/table" Target="../tables/table41.xml"/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40.xml"/><Relationship Id="rId5" Type="http://schemas.openxmlformats.org/officeDocument/2006/relationships/table" Target="../tables/table39.xml"/><Relationship Id="rId4" Type="http://schemas.openxmlformats.org/officeDocument/2006/relationships/table" Target="../tables/table3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9.xml"/><Relationship Id="rId3" Type="http://schemas.openxmlformats.org/officeDocument/2006/relationships/table" Target="../tables/table44.xml"/><Relationship Id="rId7" Type="http://schemas.openxmlformats.org/officeDocument/2006/relationships/table" Target="../tables/table48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47.xml"/><Relationship Id="rId5" Type="http://schemas.openxmlformats.org/officeDocument/2006/relationships/table" Target="../tables/table46.xml"/><Relationship Id="rId4" Type="http://schemas.openxmlformats.org/officeDocument/2006/relationships/table" Target="../tables/table4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6.xml"/><Relationship Id="rId3" Type="http://schemas.openxmlformats.org/officeDocument/2006/relationships/table" Target="../tables/table51.xml"/><Relationship Id="rId7" Type="http://schemas.openxmlformats.org/officeDocument/2006/relationships/table" Target="../tables/table55.xml"/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54.xml"/><Relationship Id="rId5" Type="http://schemas.openxmlformats.org/officeDocument/2006/relationships/table" Target="../tables/table53.xml"/><Relationship Id="rId4" Type="http://schemas.openxmlformats.org/officeDocument/2006/relationships/table" Target="../tables/table5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3.xml"/><Relationship Id="rId3" Type="http://schemas.openxmlformats.org/officeDocument/2006/relationships/table" Target="../tables/table58.xml"/><Relationship Id="rId7" Type="http://schemas.openxmlformats.org/officeDocument/2006/relationships/table" Target="../tables/table62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61.xml"/><Relationship Id="rId5" Type="http://schemas.openxmlformats.org/officeDocument/2006/relationships/table" Target="../tables/table60.xml"/><Relationship Id="rId4" Type="http://schemas.openxmlformats.org/officeDocument/2006/relationships/table" Target="../tables/table5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0.xml"/><Relationship Id="rId3" Type="http://schemas.openxmlformats.org/officeDocument/2006/relationships/table" Target="../tables/table65.xml"/><Relationship Id="rId7" Type="http://schemas.openxmlformats.org/officeDocument/2006/relationships/table" Target="../tables/table69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68.xml"/><Relationship Id="rId5" Type="http://schemas.openxmlformats.org/officeDocument/2006/relationships/table" Target="../tables/table67.xml"/><Relationship Id="rId4" Type="http://schemas.openxmlformats.org/officeDocument/2006/relationships/table" Target="../tables/table66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7.xml"/><Relationship Id="rId3" Type="http://schemas.openxmlformats.org/officeDocument/2006/relationships/table" Target="../tables/table72.xml"/><Relationship Id="rId7" Type="http://schemas.openxmlformats.org/officeDocument/2006/relationships/table" Target="../tables/table76.xml"/><Relationship Id="rId2" Type="http://schemas.openxmlformats.org/officeDocument/2006/relationships/table" Target="../tables/table71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75.xml"/><Relationship Id="rId5" Type="http://schemas.openxmlformats.org/officeDocument/2006/relationships/table" Target="../tables/table74.xml"/><Relationship Id="rId4" Type="http://schemas.openxmlformats.org/officeDocument/2006/relationships/table" Target="../tables/table73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4.xml"/><Relationship Id="rId3" Type="http://schemas.openxmlformats.org/officeDocument/2006/relationships/table" Target="../tables/table79.xml"/><Relationship Id="rId7" Type="http://schemas.openxmlformats.org/officeDocument/2006/relationships/table" Target="../tables/table83.xml"/><Relationship Id="rId2" Type="http://schemas.openxmlformats.org/officeDocument/2006/relationships/table" Target="../tables/table78.xml"/><Relationship Id="rId1" Type="http://schemas.openxmlformats.org/officeDocument/2006/relationships/printerSettings" Target="../printerSettings/printerSettings12.bin"/><Relationship Id="rId6" Type="http://schemas.openxmlformats.org/officeDocument/2006/relationships/table" Target="../tables/table82.xml"/><Relationship Id="rId5" Type="http://schemas.openxmlformats.org/officeDocument/2006/relationships/table" Target="../tables/table81.xml"/><Relationship Id="rId4" Type="http://schemas.openxmlformats.org/officeDocument/2006/relationships/table" Target="../tables/table80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1.xml"/><Relationship Id="rId3" Type="http://schemas.openxmlformats.org/officeDocument/2006/relationships/table" Target="../tables/table86.xml"/><Relationship Id="rId7" Type="http://schemas.openxmlformats.org/officeDocument/2006/relationships/table" Target="../tables/table90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13.bin"/><Relationship Id="rId6" Type="http://schemas.openxmlformats.org/officeDocument/2006/relationships/table" Target="../tables/table89.xml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8.xml"/><Relationship Id="rId3" Type="http://schemas.openxmlformats.org/officeDocument/2006/relationships/table" Target="../tables/table93.xml"/><Relationship Id="rId7" Type="http://schemas.openxmlformats.org/officeDocument/2006/relationships/table" Target="../tables/table97.xml"/><Relationship Id="rId2" Type="http://schemas.openxmlformats.org/officeDocument/2006/relationships/table" Target="../tables/table92.xml"/><Relationship Id="rId1" Type="http://schemas.openxmlformats.org/officeDocument/2006/relationships/printerSettings" Target="../printerSettings/printerSettings14.bin"/><Relationship Id="rId6" Type="http://schemas.openxmlformats.org/officeDocument/2006/relationships/table" Target="../tables/table96.xml"/><Relationship Id="rId5" Type="http://schemas.openxmlformats.org/officeDocument/2006/relationships/table" Target="../tables/table95.xml"/><Relationship Id="rId4" Type="http://schemas.openxmlformats.org/officeDocument/2006/relationships/table" Target="../tables/table9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5.xml"/><Relationship Id="rId3" Type="http://schemas.openxmlformats.org/officeDocument/2006/relationships/table" Target="../tables/table100.xml"/><Relationship Id="rId7" Type="http://schemas.openxmlformats.org/officeDocument/2006/relationships/table" Target="../tables/table104.xml"/><Relationship Id="rId2" Type="http://schemas.openxmlformats.org/officeDocument/2006/relationships/table" Target="../tables/table99.xml"/><Relationship Id="rId1" Type="http://schemas.openxmlformats.org/officeDocument/2006/relationships/printerSettings" Target="../printerSettings/printerSettings15.bin"/><Relationship Id="rId6" Type="http://schemas.openxmlformats.org/officeDocument/2006/relationships/table" Target="../tables/table103.xml"/><Relationship Id="rId5" Type="http://schemas.openxmlformats.org/officeDocument/2006/relationships/table" Target="../tables/table102.xml"/><Relationship Id="rId4" Type="http://schemas.openxmlformats.org/officeDocument/2006/relationships/table" Target="../tables/table101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2.xml"/><Relationship Id="rId3" Type="http://schemas.openxmlformats.org/officeDocument/2006/relationships/table" Target="../tables/table107.xml"/><Relationship Id="rId7" Type="http://schemas.openxmlformats.org/officeDocument/2006/relationships/table" Target="../tables/table111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16.bin"/><Relationship Id="rId6" Type="http://schemas.openxmlformats.org/officeDocument/2006/relationships/table" Target="../tables/table110.xml"/><Relationship Id="rId5" Type="http://schemas.openxmlformats.org/officeDocument/2006/relationships/table" Target="../tables/table109.xml"/><Relationship Id="rId4" Type="http://schemas.openxmlformats.org/officeDocument/2006/relationships/table" Target="../tables/table10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9.xml"/><Relationship Id="rId3" Type="http://schemas.openxmlformats.org/officeDocument/2006/relationships/table" Target="../tables/table114.xml"/><Relationship Id="rId7" Type="http://schemas.openxmlformats.org/officeDocument/2006/relationships/table" Target="../tables/table118.xml"/><Relationship Id="rId2" Type="http://schemas.openxmlformats.org/officeDocument/2006/relationships/table" Target="../tables/table113.xml"/><Relationship Id="rId1" Type="http://schemas.openxmlformats.org/officeDocument/2006/relationships/printerSettings" Target="../printerSettings/printerSettings17.bin"/><Relationship Id="rId6" Type="http://schemas.openxmlformats.org/officeDocument/2006/relationships/table" Target="../tables/table117.xml"/><Relationship Id="rId5" Type="http://schemas.openxmlformats.org/officeDocument/2006/relationships/table" Target="../tables/table116.xml"/><Relationship Id="rId4" Type="http://schemas.openxmlformats.org/officeDocument/2006/relationships/table" Target="../tables/table115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6.xml"/><Relationship Id="rId3" Type="http://schemas.openxmlformats.org/officeDocument/2006/relationships/table" Target="../tables/table121.xml"/><Relationship Id="rId7" Type="http://schemas.openxmlformats.org/officeDocument/2006/relationships/table" Target="../tables/table125.xml"/><Relationship Id="rId2" Type="http://schemas.openxmlformats.org/officeDocument/2006/relationships/table" Target="../tables/table120.xml"/><Relationship Id="rId1" Type="http://schemas.openxmlformats.org/officeDocument/2006/relationships/printerSettings" Target="../printerSettings/printerSettings18.bin"/><Relationship Id="rId6" Type="http://schemas.openxmlformats.org/officeDocument/2006/relationships/table" Target="../tables/table124.xml"/><Relationship Id="rId5" Type="http://schemas.openxmlformats.org/officeDocument/2006/relationships/table" Target="../tables/table123.xml"/><Relationship Id="rId4" Type="http://schemas.openxmlformats.org/officeDocument/2006/relationships/table" Target="../tables/table122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3.xml"/><Relationship Id="rId3" Type="http://schemas.openxmlformats.org/officeDocument/2006/relationships/table" Target="../tables/table128.xml"/><Relationship Id="rId7" Type="http://schemas.openxmlformats.org/officeDocument/2006/relationships/table" Target="../tables/table132.xml"/><Relationship Id="rId2" Type="http://schemas.openxmlformats.org/officeDocument/2006/relationships/table" Target="../tables/table127.xml"/><Relationship Id="rId1" Type="http://schemas.openxmlformats.org/officeDocument/2006/relationships/printerSettings" Target="../printerSettings/printerSettings19.bin"/><Relationship Id="rId6" Type="http://schemas.openxmlformats.org/officeDocument/2006/relationships/table" Target="../tables/table131.xml"/><Relationship Id="rId5" Type="http://schemas.openxmlformats.org/officeDocument/2006/relationships/table" Target="../tables/table130.xml"/><Relationship Id="rId4" Type="http://schemas.openxmlformats.org/officeDocument/2006/relationships/table" Target="../tables/table129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0.xml"/><Relationship Id="rId3" Type="http://schemas.openxmlformats.org/officeDocument/2006/relationships/table" Target="../tables/table135.xml"/><Relationship Id="rId7" Type="http://schemas.openxmlformats.org/officeDocument/2006/relationships/table" Target="../tables/table139.xml"/><Relationship Id="rId2" Type="http://schemas.openxmlformats.org/officeDocument/2006/relationships/table" Target="../tables/table134.xml"/><Relationship Id="rId1" Type="http://schemas.openxmlformats.org/officeDocument/2006/relationships/printerSettings" Target="../printerSettings/printerSettings20.bin"/><Relationship Id="rId6" Type="http://schemas.openxmlformats.org/officeDocument/2006/relationships/table" Target="../tables/table138.xml"/><Relationship Id="rId5" Type="http://schemas.openxmlformats.org/officeDocument/2006/relationships/table" Target="../tables/table137.xml"/><Relationship Id="rId4" Type="http://schemas.openxmlformats.org/officeDocument/2006/relationships/table" Target="../tables/table136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7.xml"/><Relationship Id="rId3" Type="http://schemas.openxmlformats.org/officeDocument/2006/relationships/table" Target="../tables/table142.xml"/><Relationship Id="rId7" Type="http://schemas.openxmlformats.org/officeDocument/2006/relationships/table" Target="../tables/table146.xml"/><Relationship Id="rId2" Type="http://schemas.openxmlformats.org/officeDocument/2006/relationships/table" Target="../tables/table141.xml"/><Relationship Id="rId1" Type="http://schemas.openxmlformats.org/officeDocument/2006/relationships/printerSettings" Target="../printerSettings/printerSettings21.bin"/><Relationship Id="rId6" Type="http://schemas.openxmlformats.org/officeDocument/2006/relationships/table" Target="../tables/table145.xml"/><Relationship Id="rId5" Type="http://schemas.openxmlformats.org/officeDocument/2006/relationships/table" Target="../tables/table144.xml"/><Relationship Id="rId4" Type="http://schemas.openxmlformats.org/officeDocument/2006/relationships/table" Target="../tables/table143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4.xml"/><Relationship Id="rId3" Type="http://schemas.openxmlformats.org/officeDocument/2006/relationships/table" Target="../tables/table149.xml"/><Relationship Id="rId7" Type="http://schemas.openxmlformats.org/officeDocument/2006/relationships/table" Target="../tables/table153.xml"/><Relationship Id="rId2" Type="http://schemas.openxmlformats.org/officeDocument/2006/relationships/table" Target="../tables/table148.xml"/><Relationship Id="rId1" Type="http://schemas.openxmlformats.org/officeDocument/2006/relationships/printerSettings" Target="../printerSettings/printerSettings22.bin"/><Relationship Id="rId6" Type="http://schemas.openxmlformats.org/officeDocument/2006/relationships/table" Target="../tables/table152.xml"/><Relationship Id="rId5" Type="http://schemas.openxmlformats.org/officeDocument/2006/relationships/table" Target="../tables/table151.xml"/><Relationship Id="rId4" Type="http://schemas.openxmlformats.org/officeDocument/2006/relationships/table" Target="../tables/table150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1.xml"/><Relationship Id="rId3" Type="http://schemas.openxmlformats.org/officeDocument/2006/relationships/table" Target="../tables/table156.xml"/><Relationship Id="rId7" Type="http://schemas.openxmlformats.org/officeDocument/2006/relationships/table" Target="../tables/table160.xml"/><Relationship Id="rId2" Type="http://schemas.openxmlformats.org/officeDocument/2006/relationships/table" Target="../tables/table155.xml"/><Relationship Id="rId1" Type="http://schemas.openxmlformats.org/officeDocument/2006/relationships/printerSettings" Target="../printerSettings/printerSettings23.bin"/><Relationship Id="rId6" Type="http://schemas.openxmlformats.org/officeDocument/2006/relationships/table" Target="../tables/table159.xml"/><Relationship Id="rId5" Type="http://schemas.openxmlformats.org/officeDocument/2006/relationships/table" Target="../tables/table158.xml"/><Relationship Id="rId4" Type="http://schemas.openxmlformats.org/officeDocument/2006/relationships/table" Target="../tables/table157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8.xml"/><Relationship Id="rId3" Type="http://schemas.openxmlformats.org/officeDocument/2006/relationships/table" Target="../tables/table163.xml"/><Relationship Id="rId7" Type="http://schemas.openxmlformats.org/officeDocument/2006/relationships/table" Target="../tables/table167.xml"/><Relationship Id="rId2" Type="http://schemas.openxmlformats.org/officeDocument/2006/relationships/table" Target="../tables/table162.xml"/><Relationship Id="rId1" Type="http://schemas.openxmlformats.org/officeDocument/2006/relationships/printerSettings" Target="../printerSettings/printerSettings24.bin"/><Relationship Id="rId6" Type="http://schemas.openxmlformats.org/officeDocument/2006/relationships/table" Target="../tables/table166.xml"/><Relationship Id="rId5" Type="http://schemas.openxmlformats.org/officeDocument/2006/relationships/table" Target="../tables/table165.xml"/><Relationship Id="rId4" Type="http://schemas.openxmlformats.org/officeDocument/2006/relationships/table" Target="../tables/table164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75.xml"/><Relationship Id="rId3" Type="http://schemas.openxmlformats.org/officeDocument/2006/relationships/table" Target="../tables/table170.xml"/><Relationship Id="rId7" Type="http://schemas.openxmlformats.org/officeDocument/2006/relationships/table" Target="../tables/table174.xml"/><Relationship Id="rId2" Type="http://schemas.openxmlformats.org/officeDocument/2006/relationships/table" Target="../tables/table169.xml"/><Relationship Id="rId1" Type="http://schemas.openxmlformats.org/officeDocument/2006/relationships/printerSettings" Target="../printerSettings/printerSettings25.bin"/><Relationship Id="rId6" Type="http://schemas.openxmlformats.org/officeDocument/2006/relationships/table" Target="../tables/table173.xml"/><Relationship Id="rId5" Type="http://schemas.openxmlformats.org/officeDocument/2006/relationships/table" Target="../tables/table172.xml"/><Relationship Id="rId4" Type="http://schemas.openxmlformats.org/officeDocument/2006/relationships/table" Target="../tables/table171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2.xml"/><Relationship Id="rId3" Type="http://schemas.openxmlformats.org/officeDocument/2006/relationships/table" Target="../tables/table177.xml"/><Relationship Id="rId7" Type="http://schemas.openxmlformats.org/officeDocument/2006/relationships/table" Target="../tables/table181.xml"/><Relationship Id="rId2" Type="http://schemas.openxmlformats.org/officeDocument/2006/relationships/table" Target="../tables/table176.xml"/><Relationship Id="rId1" Type="http://schemas.openxmlformats.org/officeDocument/2006/relationships/printerSettings" Target="../printerSettings/printerSettings26.bin"/><Relationship Id="rId6" Type="http://schemas.openxmlformats.org/officeDocument/2006/relationships/table" Target="../tables/table180.xml"/><Relationship Id="rId5" Type="http://schemas.openxmlformats.org/officeDocument/2006/relationships/table" Target="../tables/table179.xml"/><Relationship Id="rId4" Type="http://schemas.openxmlformats.org/officeDocument/2006/relationships/table" Target="../tables/table178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9.xml"/><Relationship Id="rId3" Type="http://schemas.openxmlformats.org/officeDocument/2006/relationships/table" Target="../tables/table184.xml"/><Relationship Id="rId7" Type="http://schemas.openxmlformats.org/officeDocument/2006/relationships/table" Target="../tables/table188.xml"/><Relationship Id="rId2" Type="http://schemas.openxmlformats.org/officeDocument/2006/relationships/table" Target="../tables/table183.xml"/><Relationship Id="rId1" Type="http://schemas.openxmlformats.org/officeDocument/2006/relationships/printerSettings" Target="../printerSettings/printerSettings27.bin"/><Relationship Id="rId6" Type="http://schemas.openxmlformats.org/officeDocument/2006/relationships/table" Target="../tables/table187.xml"/><Relationship Id="rId5" Type="http://schemas.openxmlformats.org/officeDocument/2006/relationships/table" Target="../tables/table186.xml"/><Relationship Id="rId4" Type="http://schemas.openxmlformats.org/officeDocument/2006/relationships/table" Target="../tables/table185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96.xml"/><Relationship Id="rId3" Type="http://schemas.openxmlformats.org/officeDocument/2006/relationships/table" Target="../tables/table191.xml"/><Relationship Id="rId7" Type="http://schemas.openxmlformats.org/officeDocument/2006/relationships/table" Target="../tables/table195.xml"/><Relationship Id="rId2" Type="http://schemas.openxmlformats.org/officeDocument/2006/relationships/table" Target="../tables/table190.xml"/><Relationship Id="rId1" Type="http://schemas.openxmlformats.org/officeDocument/2006/relationships/printerSettings" Target="../printerSettings/printerSettings28.bin"/><Relationship Id="rId6" Type="http://schemas.openxmlformats.org/officeDocument/2006/relationships/table" Target="../tables/table194.xml"/><Relationship Id="rId5" Type="http://schemas.openxmlformats.org/officeDocument/2006/relationships/table" Target="../tables/table193.xml"/><Relationship Id="rId4" Type="http://schemas.openxmlformats.org/officeDocument/2006/relationships/table" Target="../tables/table192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03.xml"/><Relationship Id="rId3" Type="http://schemas.openxmlformats.org/officeDocument/2006/relationships/table" Target="../tables/table198.xml"/><Relationship Id="rId7" Type="http://schemas.openxmlformats.org/officeDocument/2006/relationships/table" Target="../tables/table202.xml"/><Relationship Id="rId2" Type="http://schemas.openxmlformats.org/officeDocument/2006/relationships/table" Target="../tables/table197.xml"/><Relationship Id="rId1" Type="http://schemas.openxmlformats.org/officeDocument/2006/relationships/printerSettings" Target="../printerSettings/printerSettings29.bin"/><Relationship Id="rId6" Type="http://schemas.openxmlformats.org/officeDocument/2006/relationships/table" Target="../tables/table201.xml"/><Relationship Id="rId5" Type="http://schemas.openxmlformats.org/officeDocument/2006/relationships/table" Target="../tables/table200.xml"/><Relationship Id="rId4" Type="http://schemas.openxmlformats.org/officeDocument/2006/relationships/table" Target="../tables/table199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10.xml"/><Relationship Id="rId3" Type="http://schemas.openxmlformats.org/officeDocument/2006/relationships/table" Target="../tables/table205.xml"/><Relationship Id="rId7" Type="http://schemas.openxmlformats.org/officeDocument/2006/relationships/table" Target="../tables/table209.xml"/><Relationship Id="rId2" Type="http://schemas.openxmlformats.org/officeDocument/2006/relationships/table" Target="../tables/table204.xml"/><Relationship Id="rId1" Type="http://schemas.openxmlformats.org/officeDocument/2006/relationships/printerSettings" Target="../printerSettings/printerSettings30.bin"/><Relationship Id="rId6" Type="http://schemas.openxmlformats.org/officeDocument/2006/relationships/table" Target="../tables/table208.xml"/><Relationship Id="rId5" Type="http://schemas.openxmlformats.org/officeDocument/2006/relationships/table" Target="../tables/table207.xml"/><Relationship Id="rId4" Type="http://schemas.openxmlformats.org/officeDocument/2006/relationships/table" Target="../tables/table206.xm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17.xml"/><Relationship Id="rId3" Type="http://schemas.openxmlformats.org/officeDocument/2006/relationships/table" Target="../tables/table212.xml"/><Relationship Id="rId7" Type="http://schemas.openxmlformats.org/officeDocument/2006/relationships/table" Target="../tables/table216.xml"/><Relationship Id="rId2" Type="http://schemas.openxmlformats.org/officeDocument/2006/relationships/table" Target="../tables/table211.xml"/><Relationship Id="rId1" Type="http://schemas.openxmlformats.org/officeDocument/2006/relationships/printerSettings" Target="../printerSettings/printerSettings31.bin"/><Relationship Id="rId6" Type="http://schemas.openxmlformats.org/officeDocument/2006/relationships/table" Target="../tables/table215.xml"/><Relationship Id="rId5" Type="http://schemas.openxmlformats.org/officeDocument/2006/relationships/table" Target="../tables/table214.xml"/><Relationship Id="rId4" Type="http://schemas.openxmlformats.org/officeDocument/2006/relationships/table" Target="../tables/table213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24.xml"/><Relationship Id="rId3" Type="http://schemas.openxmlformats.org/officeDocument/2006/relationships/table" Target="../tables/table219.xml"/><Relationship Id="rId7" Type="http://schemas.openxmlformats.org/officeDocument/2006/relationships/table" Target="../tables/table223.xml"/><Relationship Id="rId2" Type="http://schemas.openxmlformats.org/officeDocument/2006/relationships/table" Target="../tables/table218.xml"/><Relationship Id="rId1" Type="http://schemas.openxmlformats.org/officeDocument/2006/relationships/printerSettings" Target="../printerSettings/printerSettings32.bin"/><Relationship Id="rId6" Type="http://schemas.openxmlformats.org/officeDocument/2006/relationships/table" Target="../tables/table222.xml"/><Relationship Id="rId5" Type="http://schemas.openxmlformats.org/officeDocument/2006/relationships/table" Target="../tables/table221.xml"/><Relationship Id="rId4" Type="http://schemas.openxmlformats.org/officeDocument/2006/relationships/table" Target="../tables/table220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31.xml"/><Relationship Id="rId3" Type="http://schemas.openxmlformats.org/officeDocument/2006/relationships/table" Target="../tables/table226.xml"/><Relationship Id="rId7" Type="http://schemas.openxmlformats.org/officeDocument/2006/relationships/table" Target="../tables/table230.xml"/><Relationship Id="rId2" Type="http://schemas.openxmlformats.org/officeDocument/2006/relationships/table" Target="../tables/table225.xml"/><Relationship Id="rId1" Type="http://schemas.openxmlformats.org/officeDocument/2006/relationships/printerSettings" Target="../printerSettings/printerSettings33.bin"/><Relationship Id="rId6" Type="http://schemas.openxmlformats.org/officeDocument/2006/relationships/table" Target="../tables/table229.xml"/><Relationship Id="rId5" Type="http://schemas.openxmlformats.org/officeDocument/2006/relationships/table" Target="../tables/table228.xml"/><Relationship Id="rId4" Type="http://schemas.openxmlformats.org/officeDocument/2006/relationships/table" Target="../tables/table227.xm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38.xml"/><Relationship Id="rId3" Type="http://schemas.openxmlformats.org/officeDocument/2006/relationships/table" Target="../tables/table233.xml"/><Relationship Id="rId7" Type="http://schemas.openxmlformats.org/officeDocument/2006/relationships/table" Target="../tables/table237.xml"/><Relationship Id="rId2" Type="http://schemas.openxmlformats.org/officeDocument/2006/relationships/table" Target="../tables/table232.xml"/><Relationship Id="rId1" Type="http://schemas.openxmlformats.org/officeDocument/2006/relationships/printerSettings" Target="../printerSettings/printerSettings34.bin"/><Relationship Id="rId6" Type="http://schemas.openxmlformats.org/officeDocument/2006/relationships/table" Target="../tables/table236.xml"/><Relationship Id="rId5" Type="http://schemas.openxmlformats.org/officeDocument/2006/relationships/table" Target="../tables/table235.xml"/><Relationship Id="rId4" Type="http://schemas.openxmlformats.org/officeDocument/2006/relationships/table" Target="../tables/table234.xm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5.xml"/><Relationship Id="rId3" Type="http://schemas.openxmlformats.org/officeDocument/2006/relationships/table" Target="../tables/table240.xml"/><Relationship Id="rId7" Type="http://schemas.openxmlformats.org/officeDocument/2006/relationships/table" Target="../tables/table244.xml"/><Relationship Id="rId2" Type="http://schemas.openxmlformats.org/officeDocument/2006/relationships/table" Target="../tables/table239.xml"/><Relationship Id="rId1" Type="http://schemas.openxmlformats.org/officeDocument/2006/relationships/printerSettings" Target="../printerSettings/printerSettings35.bin"/><Relationship Id="rId6" Type="http://schemas.openxmlformats.org/officeDocument/2006/relationships/table" Target="../tables/table243.xml"/><Relationship Id="rId5" Type="http://schemas.openxmlformats.org/officeDocument/2006/relationships/table" Target="../tables/table242.xml"/><Relationship Id="rId4" Type="http://schemas.openxmlformats.org/officeDocument/2006/relationships/table" Target="../tables/table241.xm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52.xml"/><Relationship Id="rId3" Type="http://schemas.openxmlformats.org/officeDocument/2006/relationships/table" Target="../tables/table247.xml"/><Relationship Id="rId7" Type="http://schemas.openxmlformats.org/officeDocument/2006/relationships/table" Target="../tables/table251.xml"/><Relationship Id="rId2" Type="http://schemas.openxmlformats.org/officeDocument/2006/relationships/table" Target="../tables/table246.xml"/><Relationship Id="rId1" Type="http://schemas.openxmlformats.org/officeDocument/2006/relationships/printerSettings" Target="../printerSettings/printerSettings36.bin"/><Relationship Id="rId6" Type="http://schemas.openxmlformats.org/officeDocument/2006/relationships/table" Target="../tables/table250.xml"/><Relationship Id="rId5" Type="http://schemas.openxmlformats.org/officeDocument/2006/relationships/table" Target="../tables/table249.xml"/><Relationship Id="rId4" Type="http://schemas.openxmlformats.org/officeDocument/2006/relationships/table" Target="../tables/table248.xm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59.xml"/><Relationship Id="rId3" Type="http://schemas.openxmlformats.org/officeDocument/2006/relationships/table" Target="../tables/table254.xml"/><Relationship Id="rId7" Type="http://schemas.openxmlformats.org/officeDocument/2006/relationships/table" Target="../tables/table258.xml"/><Relationship Id="rId2" Type="http://schemas.openxmlformats.org/officeDocument/2006/relationships/table" Target="../tables/table253.xml"/><Relationship Id="rId1" Type="http://schemas.openxmlformats.org/officeDocument/2006/relationships/printerSettings" Target="../printerSettings/printerSettings37.bin"/><Relationship Id="rId6" Type="http://schemas.openxmlformats.org/officeDocument/2006/relationships/table" Target="../tables/table257.xml"/><Relationship Id="rId5" Type="http://schemas.openxmlformats.org/officeDocument/2006/relationships/table" Target="../tables/table256.xml"/><Relationship Id="rId4" Type="http://schemas.openxmlformats.org/officeDocument/2006/relationships/table" Target="../tables/table255.xm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66.xml"/><Relationship Id="rId3" Type="http://schemas.openxmlformats.org/officeDocument/2006/relationships/table" Target="../tables/table261.xml"/><Relationship Id="rId7" Type="http://schemas.openxmlformats.org/officeDocument/2006/relationships/table" Target="../tables/table265.xml"/><Relationship Id="rId2" Type="http://schemas.openxmlformats.org/officeDocument/2006/relationships/table" Target="../tables/table260.xml"/><Relationship Id="rId1" Type="http://schemas.openxmlformats.org/officeDocument/2006/relationships/printerSettings" Target="../printerSettings/printerSettings38.bin"/><Relationship Id="rId6" Type="http://schemas.openxmlformats.org/officeDocument/2006/relationships/table" Target="../tables/table264.xml"/><Relationship Id="rId5" Type="http://schemas.openxmlformats.org/officeDocument/2006/relationships/table" Target="../tables/table263.xml"/><Relationship Id="rId4" Type="http://schemas.openxmlformats.org/officeDocument/2006/relationships/table" Target="../tables/table262.xm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73.xml"/><Relationship Id="rId3" Type="http://schemas.openxmlformats.org/officeDocument/2006/relationships/table" Target="../tables/table268.xml"/><Relationship Id="rId7" Type="http://schemas.openxmlformats.org/officeDocument/2006/relationships/table" Target="../tables/table272.xml"/><Relationship Id="rId2" Type="http://schemas.openxmlformats.org/officeDocument/2006/relationships/table" Target="../tables/table267.xml"/><Relationship Id="rId1" Type="http://schemas.openxmlformats.org/officeDocument/2006/relationships/printerSettings" Target="../printerSettings/printerSettings39.bin"/><Relationship Id="rId6" Type="http://schemas.openxmlformats.org/officeDocument/2006/relationships/table" Target="../tables/table271.xml"/><Relationship Id="rId5" Type="http://schemas.openxmlformats.org/officeDocument/2006/relationships/table" Target="../tables/table270.xml"/><Relationship Id="rId4" Type="http://schemas.openxmlformats.org/officeDocument/2006/relationships/table" Target="../tables/table269.xm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80.xml"/><Relationship Id="rId3" Type="http://schemas.openxmlformats.org/officeDocument/2006/relationships/table" Target="../tables/table275.xml"/><Relationship Id="rId7" Type="http://schemas.openxmlformats.org/officeDocument/2006/relationships/table" Target="../tables/table279.xml"/><Relationship Id="rId2" Type="http://schemas.openxmlformats.org/officeDocument/2006/relationships/table" Target="../tables/table274.xml"/><Relationship Id="rId1" Type="http://schemas.openxmlformats.org/officeDocument/2006/relationships/printerSettings" Target="../printerSettings/printerSettings40.bin"/><Relationship Id="rId6" Type="http://schemas.openxmlformats.org/officeDocument/2006/relationships/table" Target="../tables/table278.xml"/><Relationship Id="rId5" Type="http://schemas.openxmlformats.org/officeDocument/2006/relationships/table" Target="../tables/table277.xml"/><Relationship Id="rId4" Type="http://schemas.openxmlformats.org/officeDocument/2006/relationships/table" Target="../tables/table276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87.xml"/><Relationship Id="rId3" Type="http://schemas.openxmlformats.org/officeDocument/2006/relationships/table" Target="../tables/table282.xml"/><Relationship Id="rId7" Type="http://schemas.openxmlformats.org/officeDocument/2006/relationships/table" Target="../tables/table286.xml"/><Relationship Id="rId2" Type="http://schemas.openxmlformats.org/officeDocument/2006/relationships/table" Target="../tables/table281.xml"/><Relationship Id="rId1" Type="http://schemas.openxmlformats.org/officeDocument/2006/relationships/printerSettings" Target="../printerSettings/printerSettings41.bin"/><Relationship Id="rId6" Type="http://schemas.openxmlformats.org/officeDocument/2006/relationships/table" Target="../tables/table285.xml"/><Relationship Id="rId5" Type="http://schemas.openxmlformats.org/officeDocument/2006/relationships/table" Target="../tables/table284.xml"/><Relationship Id="rId4" Type="http://schemas.openxmlformats.org/officeDocument/2006/relationships/table" Target="../tables/table283.xm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94.xml"/><Relationship Id="rId3" Type="http://schemas.openxmlformats.org/officeDocument/2006/relationships/table" Target="../tables/table289.xml"/><Relationship Id="rId7" Type="http://schemas.openxmlformats.org/officeDocument/2006/relationships/table" Target="../tables/table293.xml"/><Relationship Id="rId2" Type="http://schemas.openxmlformats.org/officeDocument/2006/relationships/table" Target="../tables/table288.xml"/><Relationship Id="rId1" Type="http://schemas.openxmlformats.org/officeDocument/2006/relationships/printerSettings" Target="../printerSettings/printerSettings42.bin"/><Relationship Id="rId6" Type="http://schemas.openxmlformats.org/officeDocument/2006/relationships/table" Target="../tables/table292.xml"/><Relationship Id="rId5" Type="http://schemas.openxmlformats.org/officeDocument/2006/relationships/table" Target="../tables/table291.xml"/><Relationship Id="rId4" Type="http://schemas.openxmlformats.org/officeDocument/2006/relationships/table" Target="../tables/table290.xm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01.xml"/><Relationship Id="rId3" Type="http://schemas.openxmlformats.org/officeDocument/2006/relationships/table" Target="../tables/table296.xml"/><Relationship Id="rId7" Type="http://schemas.openxmlformats.org/officeDocument/2006/relationships/table" Target="../tables/table300.xml"/><Relationship Id="rId2" Type="http://schemas.openxmlformats.org/officeDocument/2006/relationships/table" Target="../tables/table295.xml"/><Relationship Id="rId1" Type="http://schemas.openxmlformats.org/officeDocument/2006/relationships/printerSettings" Target="../printerSettings/printerSettings43.bin"/><Relationship Id="rId6" Type="http://schemas.openxmlformats.org/officeDocument/2006/relationships/table" Target="../tables/table299.xml"/><Relationship Id="rId5" Type="http://schemas.openxmlformats.org/officeDocument/2006/relationships/table" Target="../tables/table298.xml"/><Relationship Id="rId4" Type="http://schemas.openxmlformats.org/officeDocument/2006/relationships/table" Target="../tables/table297.xm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08.xml"/><Relationship Id="rId3" Type="http://schemas.openxmlformats.org/officeDocument/2006/relationships/table" Target="../tables/table303.xml"/><Relationship Id="rId7" Type="http://schemas.openxmlformats.org/officeDocument/2006/relationships/table" Target="../tables/table307.xml"/><Relationship Id="rId2" Type="http://schemas.openxmlformats.org/officeDocument/2006/relationships/table" Target="../tables/table302.xml"/><Relationship Id="rId1" Type="http://schemas.openxmlformats.org/officeDocument/2006/relationships/printerSettings" Target="../printerSettings/printerSettings44.bin"/><Relationship Id="rId6" Type="http://schemas.openxmlformats.org/officeDocument/2006/relationships/table" Target="../tables/table306.xml"/><Relationship Id="rId5" Type="http://schemas.openxmlformats.org/officeDocument/2006/relationships/table" Target="../tables/table305.xml"/><Relationship Id="rId4" Type="http://schemas.openxmlformats.org/officeDocument/2006/relationships/table" Target="../tables/table304.xm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15.xml"/><Relationship Id="rId3" Type="http://schemas.openxmlformats.org/officeDocument/2006/relationships/table" Target="../tables/table310.xml"/><Relationship Id="rId7" Type="http://schemas.openxmlformats.org/officeDocument/2006/relationships/table" Target="../tables/table314.xml"/><Relationship Id="rId2" Type="http://schemas.openxmlformats.org/officeDocument/2006/relationships/table" Target="../tables/table309.xml"/><Relationship Id="rId1" Type="http://schemas.openxmlformats.org/officeDocument/2006/relationships/printerSettings" Target="../printerSettings/printerSettings45.bin"/><Relationship Id="rId6" Type="http://schemas.openxmlformats.org/officeDocument/2006/relationships/table" Target="../tables/table313.xml"/><Relationship Id="rId5" Type="http://schemas.openxmlformats.org/officeDocument/2006/relationships/table" Target="../tables/table312.xml"/><Relationship Id="rId4" Type="http://schemas.openxmlformats.org/officeDocument/2006/relationships/table" Target="../tables/table311.xm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2.xml"/><Relationship Id="rId3" Type="http://schemas.openxmlformats.org/officeDocument/2006/relationships/table" Target="../tables/table317.xml"/><Relationship Id="rId7" Type="http://schemas.openxmlformats.org/officeDocument/2006/relationships/table" Target="../tables/table321.xml"/><Relationship Id="rId2" Type="http://schemas.openxmlformats.org/officeDocument/2006/relationships/table" Target="../tables/table316.xml"/><Relationship Id="rId1" Type="http://schemas.openxmlformats.org/officeDocument/2006/relationships/printerSettings" Target="../printerSettings/printerSettings46.bin"/><Relationship Id="rId6" Type="http://schemas.openxmlformats.org/officeDocument/2006/relationships/table" Target="../tables/table320.xml"/><Relationship Id="rId5" Type="http://schemas.openxmlformats.org/officeDocument/2006/relationships/table" Target="../tables/table319.xml"/><Relationship Id="rId4" Type="http://schemas.openxmlformats.org/officeDocument/2006/relationships/table" Target="../tables/table318.xm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9.xml"/><Relationship Id="rId3" Type="http://schemas.openxmlformats.org/officeDocument/2006/relationships/table" Target="../tables/table324.xml"/><Relationship Id="rId7" Type="http://schemas.openxmlformats.org/officeDocument/2006/relationships/table" Target="../tables/table328.xml"/><Relationship Id="rId2" Type="http://schemas.openxmlformats.org/officeDocument/2006/relationships/table" Target="../tables/table323.xml"/><Relationship Id="rId1" Type="http://schemas.openxmlformats.org/officeDocument/2006/relationships/printerSettings" Target="../printerSettings/printerSettings47.bin"/><Relationship Id="rId6" Type="http://schemas.openxmlformats.org/officeDocument/2006/relationships/table" Target="../tables/table327.xml"/><Relationship Id="rId5" Type="http://schemas.openxmlformats.org/officeDocument/2006/relationships/table" Target="../tables/table326.xml"/><Relationship Id="rId4" Type="http://schemas.openxmlformats.org/officeDocument/2006/relationships/table" Target="../tables/table325.xm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36.xml"/><Relationship Id="rId3" Type="http://schemas.openxmlformats.org/officeDocument/2006/relationships/table" Target="../tables/table331.xml"/><Relationship Id="rId7" Type="http://schemas.openxmlformats.org/officeDocument/2006/relationships/table" Target="../tables/table335.xml"/><Relationship Id="rId2" Type="http://schemas.openxmlformats.org/officeDocument/2006/relationships/table" Target="../tables/table330.xml"/><Relationship Id="rId1" Type="http://schemas.openxmlformats.org/officeDocument/2006/relationships/printerSettings" Target="../printerSettings/printerSettings48.bin"/><Relationship Id="rId6" Type="http://schemas.openxmlformats.org/officeDocument/2006/relationships/table" Target="../tables/table334.xml"/><Relationship Id="rId5" Type="http://schemas.openxmlformats.org/officeDocument/2006/relationships/table" Target="../tables/table333.xml"/><Relationship Id="rId4" Type="http://schemas.openxmlformats.org/officeDocument/2006/relationships/table" Target="../tables/table332.xm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43.xml"/><Relationship Id="rId3" Type="http://schemas.openxmlformats.org/officeDocument/2006/relationships/table" Target="../tables/table338.xml"/><Relationship Id="rId7" Type="http://schemas.openxmlformats.org/officeDocument/2006/relationships/table" Target="../tables/table342.xml"/><Relationship Id="rId2" Type="http://schemas.openxmlformats.org/officeDocument/2006/relationships/table" Target="../tables/table337.xml"/><Relationship Id="rId1" Type="http://schemas.openxmlformats.org/officeDocument/2006/relationships/printerSettings" Target="../printerSettings/printerSettings49.bin"/><Relationship Id="rId6" Type="http://schemas.openxmlformats.org/officeDocument/2006/relationships/table" Target="../tables/table341.xml"/><Relationship Id="rId5" Type="http://schemas.openxmlformats.org/officeDocument/2006/relationships/table" Target="../tables/table340.xml"/><Relationship Id="rId4" Type="http://schemas.openxmlformats.org/officeDocument/2006/relationships/table" Target="../tables/table339.xm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50.xml"/><Relationship Id="rId3" Type="http://schemas.openxmlformats.org/officeDocument/2006/relationships/table" Target="../tables/table345.xml"/><Relationship Id="rId7" Type="http://schemas.openxmlformats.org/officeDocument/2006/relationships/table" Target="../tables/table349.xml"/><Relationship Id="rId2" Type="http://schemas.openxmlformats.org/officeDocument/2006/relationships/table" Target="../tables/table344.xml"/><Relationship Id="rId1" Type="http://schemas.openxmlformats.org/officeDocument/2006/relationships/printerSettings" Target="../printerSettings/printerSettings50.bin"/><Relationship Id="rId6" Type="http://schemas.openxmlformats.org/officeDocument/2006/relationships/table" Target="../tables/table348.xml"/><Relationship Id="rId5" Type="http://schemas.openxmlformats.org/officeDocument/2006/relationships/table" Target="../tables/table347.xml"/><Relationship Id="rId4" Type="http://schemas.openxmlformats.org/officeDocument/2006/relationships/table" Target="../tables/table346.xml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57.xml"/><Relationship Id="rId3" Type="http://schemas.openxmlformats.org/officeDocument/2006/relationships/table" Target="../tables/table352.xml"/><Relationship Id="rId7" Type="http://schemas.openxmlformats.org/officeDocument/2006/relationships/table" Target="../tables/table356.xml"/><Relationship Id="rId2" Type="http://schemas.openxmlformats.org/officeDocument/2006/relationships/table" Target="../tables/table351.xml"/><Relationship Id="rId1" Type="http://schemas.openxmlformats.org/officeDocument/2006/relationships/printerSettings" Target="../printerSettings/printerSettings51.bin"/><Relationship Id="rId6" Type="http://schemas.openxmlformats.org/officeDocument/2006/relationships/table" Target="../tables/table355.xml"/><Relationship Id="rId5" Type="http://schemas.openxmlformats.org/officeDocument/2006/relationships/table" Target="../tables/table354.xml"/><Relationship Id="rId4" Type="http://schemas.openxmlformats.org/officeDocument/2006/relationships/table" Target="../tables/table353.xm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64.xml"/><Relationship Id="rId3" Type="http://schemas.openxmlformats.org/officeDocument/2006/relationships/table" Target="../tables/table359.xml"/><Relationship Id="rId7" Type="http://schemas.openxmlformats.org/officeDocument/2006/relationships/table" Target="../tables/table363.xml"/><Relationship Id="rId2" Type="http://schemas.openxmlformats.org/officeDocument/2006/relationships/table" Target="../tables/table358.xml"/><Relationship Id="rId1" Type="http://schemas.openxmlformats.org/officeDocument/2006/relationships/printerSettings" Target="../printerSettings/printerSettings52.bin"/><Relationship Id="rId6" Type="http://schemas.openxmlformats.org/officeDocument/2006/relationships/table" Target="../tables/table362.xml"/><Relationship Id="rId5" Type="http://schemas.openxmlformats.org/officeDocument/2006/relationships/table" Target="../tables/table361.xml"/><Relationship Id="rId4" Type="http://schemas.openxmlformats.org/officeDocument/2006/relationships/table" Target="../tables/table360.xml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71.xml"/><Relationship Id="rId3" Type="http://schemas.openxmlformats.org/officeDocument/2006/relationships/table" Target="../tables/table366.xml"/><Relationship Id="rId7" Type="http://schemas.openxmlformats.org/officeDocument/2006/relationships/table" Target="../tables/table370.xml"/><Relationship Id="rId2" Type="http://schemas.openxmlformats.org/officeDocument/2006/relationships/table" Target="../tables/table365.xml"/><Relationship Id="rId1" Type="http://schemas.openxmlformats.org/officeDocument/2006/relationships/printerSettings" Target="../printerSettings/printerSettings53.bin"/><Relationship Id="rId6" Type="http://schemas.openxmlformats.org/officeDocument/2006/relationships/table" Target="../tables/table369.xml"/><Relationship Id="rId5" Type="http://schemas.openxmlformats.org/officeDocument/2006/relationships/table" Target="../tables/table368.xml"/><Relationship Id="rId4" Type="http://schemas.openxmlformats.org/officeDocument/2006/relationships/table" Target="../tables/table367.xml"/></Relationships>
</file>

<file path=xl/worksheets/_rels/sheet54.xml.rels><?xml version="1.0" encoding="UTF-8" standalone="yes"?>
<Relationships xmlns="http://schemas.openxmlformats.org/package/2006/relationships"><Relationship Id="rId26" Type="http://schemas.openxmlformats.org/officeDocument/2006/relationships/hyperlink" Target="mailto:Kansli@gideonsbergsif.se" TargetMode="External"/><Relationship Id="rId21" Type="http://schemas.openxmlformats.org/officeDocument/2006/relationships/hyperlink" Target="mailto:angelica.nordfeldt@vasteras.se" TargetMode="External"/><Relationship Id="rId42" Type="http://schemas.openxmlformats.org/officeDocument/2006/relationships/hyperlink" Target="mailto:k.drozdibob@gmail.com" TargetMode="External"/><Relationship Id="rId47" Type="http://schemas.openxmlformats.org/officeDocument/2006/relationships/hyperlink" Target="mailto:matilda1990@gmail.com" TargetMode="External"/><Relationship Id="rId63" Type="http://schemas.openxmlformats.org/officeDocument/2006/relationships/hyperlink" Target="mailto:jenny.lernman@friidrott.se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mailto:headcoach52@hotmail.com" TargetMode="External"/><Relationship Id="rId71" Type="http://schemas.microsoft.com/office/2017/10/relationships/threadedComment" Target="../threadedComments/threadedComment1.xml"/><Relationship Id="rId2" Type="http://schemas.openxmlformats.org/officeDocument/2006/relationships/hyperlink" Target="mailto:lirarna@idrottsforskolan.se" TargetMode="External"/><Relationship Id="rId16" Type="http://schemas.openxmlformats.org/officeDocument/2006/relationships/hyperlink" Target="mailto:daniel.lagergren@vasteras.se" TargetMode="External"/><Relationship Id="rId29" Type="http://schemas.openxmlformats.org/officeDocument/2006/relationships/hyperlink" Target="mailto:ida.leek@vasteras.se" TargetMode="External"/><Relationship Id="rId11" Type="http://schemas.openxmlformats.org/officeDocument/2006/relationships/hyperlink" Target="mailto:mikael@engbom.net" TargetMode="External"/><Relationship Id="rId24" Type="http://schemas.openxmlformats.org/officeDocument/2006/relationships/hyperlink" Target="mailto:Ekonomi@skiljebosk.nu" TargetMode="External"/><Relationship Id="rId32" Type="http://schemas.openxmlformats.org/officeDocument/2006/relationships/hyperlink" Target="mailto:jenny.nordlund@vasteras.se" TargetMode="External"/><Relationship Id="rId37" Type="http://schemas.openxmlformats.org/officeDocument/2006/relationships/hyperlink" Target="mailto:annie_andren@hotmail.com" TargetMode="External"/><Relationship Id="rId40" Type="http://schemas.openxmlformats.org/officeDocument/2006/relationships/hyperlink" Target="mailto:pontus.willman@vasteras.se" TargetMode="External"/><Relationship Id="rId45" Type="http://schemas.openxmlformats.org/officeDocument/2006/relationships/hyperlink" Target="mailto:sbarkman@hotmail.com" TargetMode="External"/><Relationship Id="rId53" Type="http://schemas.openxmlformats.org/officeDocument/2006/relationships/hyperlink" Target="mailto:andreas.tjerngren@gmail.com" TargetMode="External"/><Relationship Id="rId58" Type="http://schemas.openxmlformats.org/officeDocument/2006/relationships/hyperlink" Target="mailto:dennisaltun@gmail.com" TargetMode="External"/><Relationship Id="rId66" Type="http://schemas.openxmlformats.org/officeDocument/2006/relationships/hyperlink" Target="mailto:heather_scott1001@yahoo.co.uk" TargetMode="External"/><Relationship Id="rId5" Type="http://schemas.openxmlformats.org/officeDocument/2006/relationships/hyperlink" Target="mailto:linuslindgren@hotmail.com" TargetMode="External"/><Relationship Id="rId61" Type="http://schemas.openxmlformats.org/officeDocument/2006/relationships/hyperlink" Target="mailto:jenny.lernman@friidrott.se" TargetMode="External"/><Relationship Id="rId19" Type="http://schemas.openxmlformats.org/officeDocument/2006/relationships/hyperlink" Target="mailto:maria@rydfjord.se" TargetMode="External"/><Relationship Id="rId14" Type="http://schemas.openxmlformats.org/officeDocument/2006/relationships/hyperlink" Target="mailto:marinela.atanasova@noblaskolan.se" TargetMode="External"/><Relationship Id="rId22" Type="http://schemas.openxmlformats.org/officeDocument/2006/relationships/hyperlink" Target="mailto:inkfakturor@stadsmissionensskolstiftelse.se" TargetMode="External"/><Relationship Id="rId27" Type="http://schemas.openxmlformats.org/officeDocument/2006/relationships/hyperlink" Target="mailto:lofo0708@hotmail.com" TargetMode="External"/><Relationship Id="rId30" Type="http://schemas.openxmlformats.org/officeDocument/2006/relationships/hyperlink" Target="mailto:Hornafrik.if@hotmail.com" TargetMode="External"/><Relationship Id="rId35" Type="http://schemas.openxmlformats.org/officeDocument/2006/relationships/hyperlink" Target="mailto:akka.backstrom@gmail.com" TargetMode="External"/><Relationship Id="rId43" Type="http://schemas.openxmlformats.org/officeDocument/2006/relationships/hyperlink" Target="mailto:mathias@schon.se" TargetMode="External"/><Relationship Id="rId48" Type="http://schemas.openxmlformats.org/officeDocument/2006/relationships/hyperlink" Target="mailto:jonas_gard@hotmail.com" TargetMode="External"/><Relationship Id="rId56" Type="http://schemas.openxmlformats.org/officeDocument/2006/relationships/hyperlink" Target="mailto:kansliet@vskbandy.se" TargetMode="External"/><Relationship Id="rId64" Type="http://schemas.openxmlformats.org/officeDocument/2006/relationships/hyperlink" Target="mailto:Inbox.lev.447751@arkivplats.se" TargetMode="External"/><Relationship Id="rId69" Type="http://schemas.openxmlformats.org/officeDocument/2006/relationships/table" Target="../tables/table372.xml"/><Relationship Id="rId8" Type="http://schemas.openxmlformats.org/officeDocument/2006/relationships/hyperlink" Target="mailto:kristina.granstrom@hotmail.com" TargetMode="External"/><Relationship Id="rId51" Type="http://schemas.openxmlformats.org/officeDocument/2006/relationships/hyperlink" Target="mailto:sebastian@kopparhalsan.se" TargetMode="External"/><Relationship Id="rId3" Type="http://schemas.openxmlformats.org/officeDocument/2006/relationships/hyperlink" Target="mailto:info@barnkompani.se" TargetMode="External"/><Relationship Id="rId12" Type="http://schemas.openxmlformats.org/officeDocument/2006/relationships/hyperlink" Target="mailto:mikael@engbom.net" TargetMode="External"/><Relationship Id="rId17" Type="http://schemas.openxmlformats.org/officeDocument/2006/relationships/hyperlink" Target="mailto:anki.thomson@jenseneducation.se" TargetMode="External"/><Relationship Id="rId25" Type="http://schemas.openxmlformats.org/officeDocument/2006/relationships/hyperlink" Target="mailto:danfroejd@gmail.com" TargetMode="External"/><Relationship Id="rId33" Type="http://schemas.openxmlformats.org/officeDocument/2006/relationships/hyperlink" Target="mailto:kansli@vikfotboll.se" TargetMode="External"/><Relationship Id="rId38" Type="http://schemas.openxmlformats.org/officeDocument/2006/relationships/hyperlink" Target="mailto:Ebbahjalmarsson@live.se" TargetMode="External"/><Relationship Id="rId46" Type="http://schemas.openxmlformats.org/officeDocument/2006/relationships/hyperlink" Target="mailto:Marikak98@hotmail.com" TargetMode="External"/><Relationship Id="rId59" Type="http://schemas.openxmlformats.org/officeDocument/2006/relationships/hyperlink" Target="mailto:dennisaltun@gmail.com" TargetMode="External"/><Relationship Id="rId67" Type="http://schemas.openxmlformats.org/officeDocument/2006/relationships/printerSettings" Target="../printerSettings/printerSettings54.bin"/><Relationship Id="rId20" Type="http://schemas.openxmlformats.org/officeDocument/2006/relationships/hyperlink" Target="mailto:catarina.holmlund@vasteras.se" TargetMode="External"/><Relationship Id="rId41" Type="http://schemas.openxmlformats.org/officeDocument/2006/relationships/hyperlink" Target="mailto:orjan.carrwik@svenskfotboll.se" TargetMode="External"/><Relationship Id="rId54" Type="http://schemas.openxmlformats.org/officeDocument/2006/relationships/hyperlink" Target="mailto:sebastian@kopparhalsan.se" TargetMode="External"/><Relationship Id="rId62" Type="http://schemas.openxmlformats.org/officeDocument/2006/relationships/hyperlink" Target="mailto:jenny.lernman@friidrott.se" TargetMode="External"/><Relationship Id="rId70" Type="http://schemas.openxmlformats.org/officeDocument/2006/relationships/comments" Target="../comments1.xml"/><Relationship Id="rId1" Type="http://schemas.openxmlformats.org/officeDocument/2006/relationships/hyperlink" Target="mailto:melinda.ristomidemalm@grillska.se" TargetMode="External"/><Relationship Id="rId6" Type="http://schemas.openxmlformats.org/officeDocument/2006/relationships/hyperlink" Target="mailto:efakt.ckutbildning@devo.se" TargetMode="External"/><Relationship Id="rId15" Type="http://schemas.openxmlformats.org/officeDocument/2006/relationships/hyperlink" Target="mailto:johan.andersson@grillska.se" TargetMode="External"/><Relationship Id="rId23" Type="http://schemas.openxmlformats.org/officeDocument/2006/relationships/hyperlink" Target="mailto:andreas.gardstam@realgymnasiet.se" TargetMode="External"/><Relationship Id="rId28" Type="http://schemas.openxmlformats.org/officeDocument/2006/relationships/hyperlink" Target="mailto:Thereseforslund@live.se" TargetMode="External"/><Relationship Id="rId36" Type="http://schemas.openxmlformats.org/officeDocument/2006/relationships/hyperlink" Target="mailto:adde_engstrom@hotmail.com" TargetMode="External"/><Relationship Id="rId49" Type="http://schemas.openxmlformats.org/officeDocument/2006/relationships/hyperlink" Target="mailto:anna.siggelin@hitachienergy.com" TargetMode="External"/><Relationship Id="rId57" Type="http://schemas.openxmlformats.org/officeDocument/2006/relationships/hyperlink" Target="mailto:sebastian@kopparhalsan.se" TargetMode="External"/><Relationship Id="rId10" Type="http://schemas.openxmlformats.org/officeDocument/2006/relationships/hyperlink" Target="mailto:emeli.fahlen@hotmail.com" TargetMode="External"/><Relationship Id="rId31" Type="http://schemas.openxmlformats.org/officeDocument/2006/relationships/hyperlink" Target="mailto:jenny.akerlund@vasteras.se" TargetMode="External"/><Relationship Id="rId44" Type="http://schemas.openxmlformats.org/officeDocument/2006/relationships/hyperlink" Target="mailto:mathias@schon.se" TargetMode="External"/><Relationship Id="rId52" Type="http://schemas.openxmlformats.org/officeDocument/2006/relationships/hyperlink" Target="mailto:kristoffer@kopparhalsan.se" TargetMode="External"/><Relationship Id="rId60" Type="http://schemas.openxmlformats.org/officeDocument/2006/relationships/hyperlink" Target="mailto:jenny.lernman@friidrott.se" TargetMode="External"/><Relationship Id="rId65" Type="http://schemas.openxmlformats.org/officeDocument/2006/relationships/hyperlink" Target="mailto:sportchef.herr@hallstahammarshk.se" TargetMode="External"/><Relationship Id="rId4" Type="http://schemas.openxmlformats.org/officeDocument/2006/relationships/hyperlink" Target="mailto:faktura2043_vskbandyevent@erip.se" TargetMode="External"/><Relationship Id="rId9" Type="http://schemas.openxmlformats.org/officeDocument/2006/relationships/hyperlink" Target="mailto:Marikak98@hotmail.com" TargetMode="External"/><Relationship Id="rId13" Type="http://schemas.openxmlformats.org/officeDocument/2006/relationships/hyperlink" Target="mailto:hanna.nohlert@gmail.com" TargetMode="External"/><Relationship Id="rId18" Type="http://schemas.openxmlformats.org/officeDocument/2006/relationships/hyperlink" Target="mailto:malingustafsson59@gmail.com" TargetMode="External"/><Relationship Id="rId39" Type="http://schemas.openxmlformats.org/officeDocument/2006/relationships/hyperlink" Target="mailto:maberglund@live.se" TargetMode="External"/><Relationship Id="rId34" Type="http://schemas.openxmlformats.org/officeDocument/2006/relationships/hyperlink" Target="mailto:kansli@vikfotboll.se" TargetMode="External"/><Relationship Id="rId50" Type="http://schemas.openxmlformats.org/officeDocument/2006/relationships/hyperlink" Target="mailto:faktura@vasteras.friskissvettis.se" TargetMode="External"/><Relationship Id="rId55" Type="http://schemas.openxmlformats.org/officeDocument/2006/relationships/hyperlink" Target="mailto:lillis@vskbandy.se" TargetMode="Externa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hyperlink" Target="mailto:kansliet@vasterasfriidrott.se" TargetMode="External"/><Relationship Id="rId7" Type="http://schemas.openxmlformats.org/officeDocument/2006/relationships/table" Target="../tables/table376.xml"/><Relationship Id="rId2" Type="http://schemas.openxmlformats.org/officeDocument/2006/relationships/hyperlink" Target="mailto:elias@vasterasfriidrott.se" TargetMode="External"/><Relationship Id="rId1" Type="http://schemas.openxmlformats.org/officeDocument/2006/relationships/hyperlink" Target="mailto:henrik@vasterasfriidrott.se" TargetMode="External"/><Relationship Id="rId6" Type="http://schemas.openxmlformats.org/officeDocument/2006/relationships/table" Target="../tables/table375.xml"/><Relationship Id="rId5" Type="http://schemas.openxmlformats.org/officeDocument/2006/relationships/table" Target="../tables/table374.xml"/><Relationship Id="rId4" Type="http://schemas.openxmlformats.org/officeDocument/2006/relationships/table" Target="../tables/table37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7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hyperlink" Target="https://www.vasterasfriidrott.se/l/fortydligande-om-parkering-vid-westinghouse-arena/" TargetMode="External"/><Relationship Id="rId1" Type="http://schemas.openxmlformats.org/officeDocument/2006/relationships/hyperlink" Target="https://www.vasterasfriidrott.se/l/fortydligande-om-parkering-vid-westinghouse-arena/" TargetMode="External"/><Relationship Id="rId6" Type="http://schemas.openxmlformats.org/officeDocument/2006/relationships/table" Target="../tables/table378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1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hyperlink" Target="https://www.vasterasfriidrott.se/l/fortydligande-om-parkering-vid-westinghouse-arena/" TargetMode="External"/><Relationship Id="rId1" Type="http://schemas.openxmlformats.org/officeDocument/2006/relationships/hyperlink" Target="https://www.vasterasfriidrott.se/l/fortydligande-om-parkering-vid-westinghouse-arena/" TargetMode="External"/><Relationship Id="rId6" Type="http://schemas.openxmlformats.org/officeDocument/2006/relationships/table" Target="../tables/table379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7.bin"/><Relationship Id="rId6" Type="http://schemas.openxmlformats.org/officeDocument/2006/relationships/table" Target="../tables/table380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4D885-2951-43BE-B1E7-C75BEB1A94FB}">
  <sheetPr codeName="Blad1"/>
  <dimension ref="A1:Y23"/>
  <sheetViews>
    <sheetView showGridLines="0" zoomScaleNormal="100" workbookViewId="0">
      <pane ySplit="2" topLeftCell="A3" activePane="bottomLeft" state="frozen"/>
      <selection activeCell="C19" sqref="C19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Måndag1</f>
        <v>45656</v>
      </c>
      <c r="W1" s="33">
        <f>Söndag1</f>
        <v>45662</v>
      </c>
      <c r="X1" s="34">
        <f>WEEKNUM(Söndag1, 2)</f>
        <v>1</v>
      </c>
      <c r="Y1" s="35" t="str">
        <f>"V. "&amp;X1&amp;", "&amp;TEXT(V1,"D MMM")&amp;"-"&amp;TEXT(W1,"D MMM")</f>
        <v>V. 1, 30 dec-5 jan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Måndag1</f>
        <v>45656</v>
      </c>
      <c r="C3" s="40">
        <v>0.70833333333333337</v>
      </c>
      <c r="D3" s="41">
        <v>0.83333333333333337</v>
      </c>
      <c r="E3" s="42"/>
      <c r="F3" s="43" t="s">
        <v>873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 t="shared" ref="A5" si="2">PROPER(TEXT(B5, "dddd"))</f>
        <v>Tisdag</v>
      </c>
      <c r="B5" s="195">
        <f t="shared" ref="B5" si="3">Tisdag1</f>
        <v>45657</v>
      </c>
      <c r="C5" s="40">
        <v>0.70833333333333337</v>
      </c>
      <c r="D5" s="48">
        <v>0.83333333333333337</v>
      </c>
      <c r="E5" s="49"/>
      <c r="F5" s="50" t="s">
        <v>873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193" t="s">
        <v>0</v>
      </c>
      <c r="B6" s="195" t="s">
        <v>1</v>
      </c>
      <c r="C6" s="44" t="s">
        <v>824</v>
      </c>
      <c r="D6" s="45" t="s">
        <v>2</v>
      </c>
      <c r="E6" s="46" t="s">
        <v>3</v>
      </c>
      <c r="F6" s="47" t="s">
        <v>4</v>
      </c>
    </row>
    <row r="7" spans="1:25" ht="15" customHeight="1" x14ac:dyDescent="0.3">
      <c r="A7" s="193" t="str">
        <f t="shared" ref="A7" si="4">PROPER(TEXT(B7, "dddd"))</f>
        <v>Onsdag</v>
      </c>
      <c r="B7" s="195">
        <f t="shared" ref="B7" si="5">Onsdag1</f>
        <v>45658</v>
      </c>
      <c r="C7" s="40">
        <v>0.70833333333333337</v>
      </c>
      <c r="D7" s="48">
        <v>0.83333333333333337</v>
      </c>
      <c r="E7" s="49"/>
      <c r="F7" s="50" t="s">
        <v>873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193" t="s">
        <v>0</v>
      </c>
      <c r="B8" s="195" t="s">
        <v>1</v>
      </c>
      <c r="C8" s="44" t="s">
        <v>824</v>
      </c>
      <c r="D8" s="45" t="s">
        <v>2</v>
      </c>
      <c r="E8" s="46" t="s">
        <v>3</v>
      </c>
      <c r="F8" s="47" t="s">
        <v>4</v>
      </c>
    </row>
    <row r="9" spans="1:25" ht="15" customHeight="1" x14ac:dyDescent="0.3">
      <c r="A9" s="193" t="str">
        <f t="shared" ref="A9" si="6">PROPER(TEXT(B9, "dddd"))</f>
        <v>Torsdag</v>
      </c>
      <c r="B9" s="195">
        <f t="shared" ref="B9" si="7">Torsdag1</f>
        <v>45659</v>
      </c>
      <c r="C9" s="40">
        <v>0.41666666666666669</v>
      </c>
      <c r="D9" s="48">
        <v>0.5</v>
      </c>
      <c r="E9" s="49"/>
      <c r="F9" s="50" t="s">
        <v>238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0.5625</v>
      </c>
      <c r="D10" s="48">
        <v>0.64583333333333337</v>
      </c>
      <c r="E10" s="49"/>
      <c r="F10" s="50" t="s">
        <v>218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0.70833333333333337</v>
      </c>
      <c r="D11" s="48">
        <v>0.83333333333333337</v>
      </c>
      <c r="E11" s="49"/>
      <c r="F11" s="50" t="s">
        <v>873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193" t="s">
        <v>0</v>
      </c>
      <c r="B12" s="195" t="s">
        <v>1</v>
      </c>
      <c r="C12" s="44" t="s">
        <v>824</v>
      </c>
      <c r="D12" s="45" t="s">
        <v>2</v>
      </c>
      <c r="E12" s="46" t="s">
        <v>3</v>
      </c>
      <c r="F12" s="47" t="s">
        <v>4</v>
      </c>
    </row>
    <row r="13" spans="1:25" ht="15" customHeight="1" x14ac:dyDescent="0.3">
      <c r="A13" s="193" t="str">
        <f t="shared" ref="A13" si="8">PROPER(TEXT(B13, "dddd"))</f>
        <v>Fredag</v>
      </c>
      <c r="B13" s="195">
        <f t="shared" ref="B13" si="9">Fredag1</f>
        <v>45660</v>
      </c>
      <c r="C13" s="40">
        <v>0.41666666666666669</v>
      </c>
      <c r="D13" s="48">
        <v>0.5</v>
      </c>
      <c r="E13" s="49"/>
      <c r="F13" s="50" t="s">
        <v>629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/>
      <c r="B14" s="195"/>
      <c r="C14" s="40">
        <v>0.45833333333333331</v>
      </c>
      <c r="D14" s="48">
        <v>0.54166666666666663</v>
      </c>
      <c r="E14" s="49"/>
      <c r="F14" s="50" t="s">
        <v>800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193"/>
      <c r="B15" s="195"/>
      <c r="C15" s="40">
        <v>0.70833333333333337</v>
      </c>
      <c r="D15" s="48">
        <v>0.83333333333333337</v>
      </c>
      <c r="E15" s="49"/>
      <c r="F15" s="50" t="s">
        <v>873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s="10" customFormat="1" ht="20.100000000000001" hidden="1" customHeight="1" x14ac:dyDescent="0.3">
      <c r="A16" s="193" t="s">
        <v>0</v>
      </c>
      <c r="B16" s="195" t="s">
        <v>1</v>
      </c>
      <c r="C16" s="44" t="s">
        <v>824</v>
      </c>
      <c r="D16" s="45" t="s">
        <v>2</v>
      </c>
      <c r="E16" s="46" t="s">
        <v>3</v>
      </c>
      <c r="F16" s="47" t="s">
        <v>4</v>
      </c>
    </row>
    <row r="17" spans="1:24" ht="15" customHeight="1" x14ac:dyDescent="0.3">
      <c r="A17" s="193" t="str">
        <f t="shared" ref="A17" si="10">PROPER(TEXT(B17, "dddd"))</f>
        <v>Lördag</v>
      </c>
      <c r="B17" s="195">
        <f t="shared" ref="B17" si="11">Lördag1</f>
        <v>45661</v>
      </c>
      <c r="C17" s="40">
        <v>0.375</v>
      </c>
      <c r="D17" s="48">
        <v>0.625</v>
      </c>
      <c r="E17" s="49"/>
      <c r="F17" s="50" t="s">
        <v>873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s="10" customFormat="1" ht="20.100000000000001" hidden="1" customHeight="1" x14ac:dyDescent="0.3">
      <c r="A18" s="193" t="s">
        <v>0</v>
      </c>
      <c r="B18" s="195" t="s">
        <v>1</v>
      </c>
      <c r="C18" s="44" t="s">
        <v>824</v>
      </c>
      <c r="D18" s="45" t="s">
        <v>2</v>
      </c>
      <c r="E18" s="46" t="s">
        <v>3</v>
      </c>
      <c r="F18" s="47" t="s">
        <v>4</v>
      </c>
    </row>
    <row r="19" spans="1:24" ht="15" customHeight="1" x14ac:dyDescent="0.3">
      <c r="A19" s="193" t="str">
        <f t="shared" ref="A19" si="12">PROPER(TEXT(B19, "dddd"))</f>
        <v>Söndag</v>
      </c>
      <c r="B19" s="195">
        <f t="shared" ref="B19" si="13">Söndag1</f>
        <v>45662</v>
      </c>
      <c r="C19" s="40">
        <v>0.375</v>
      </c>
      <c r="D19" s="48">
        <v>0.79166666666666663</v>
      </c>
      <c r="E19" s="49"/>
      <c r="F19" s="50" t="s">
        <v>873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1" spans="1:24" ht="15" customHeight="1" x14ac:dyDescent="0.3">
      <c r="C21" s="40"/>
      <c r="D21" s="41"/>
    </row>
    <row r="22" spans="1:24" ht="15" customHeight="1" x14ac:dyDescent="0.3">
      <c r="C22" s="40"/>
      <c r="D22" s="8"/>
    </row>
    <row r="23" spans="1:24" ht="15" customHeight="1" x14ac:dyDescent="0.3">
      <c r="C23" s="40"/>
      <c r="D23" s="8"/>
    </row>
  </sheetData>
  <sheetProtection algorithmName="SHA-512" hashValue="CalNhhl55HEaIOnWl1akzc2DcakvYthyALaPR4y097tRTLo5zlCl8qTwBRk2DxR0YlJg93xdAik9ePpJp834aA==" saltValue="EduhR9jdiuIVUySgbXxK7Q==" spinCount="100000" sheet="1" objects="1" scenarios="1" autoFilter="0" pivotTables="0"/>
  <sortState xmlns:xlrd2="http://schemas.microsoft.com/office/spreadsheetml/2017/richdata2" ref="A13:F15">
    <sortCondition ref="C13:C15"/>
  </sortState>
  <phoneticPr fontId="1" type="noConversion"/>
  <conditionalFormatting sqref="A3">
    <cfRule type="cellIs" dxfId="1178" priority="5" operator="equal">
      <formula>"Datum"</formula>
    </cfRule>
    <cfRule type="cellIs" dxfId="1177" priority="6" operator="equal">
      <formula>"Dag"</formula>
    </cfRule>
    <cfRule type="expression" dxfId="1176" priority="8">
      <formula>OR(IF($A2="Dag",1))</formula>
    </cfRule>
  </conditionalFormatting>
  <conditionalFormatting sqref="A18">
    <cfRule type="expression" dxfId="1175" priority="28">
      <formula>OR(IF(#REF!="Dag",1))</formula>
    </cfRule>
  </conditionalFormatting>
  <conditionalFormatting sqref="A5 A7 A9:A11 A13:A15 A17 A19">
    <cfRule type="cellIs" dxfId="1174" priority="1" operator="equal">
      <formula>"Datum"</formula>
    </cfRule>
    <cfRule type="cellIs" dxfId="1173" priority="2" operator="equal">
      <formula>"Dag"</formula>
    </cfRule>
    <cfRule type="expression" dxfId="1172" priority="4">
      <formula>OR(IF($A4="Dag",1))</formula>
    </cfRule>
  </conditionalFormatting>
  <conditionalFormatting sqref="A1:B2 B3 A4:B4 B5 A6:B6 B7 A8:B8 B9:B11 A12:B12 B13:B15 A16:B16 B17 A18:B18 B19 A20:B1048576">
    <cfRule type="cellIs" dxfId="1171" priority="18" operator="equal">
      <formula>"Datum"</formula>
    </cfRule>
    <cfRule type="cellIs" dxfId="1170" priority="19" operator="equal">
      <formula>"Dag"</formula>
    </cfRule>
  </conditionalFormatting>
  <conditionalFormatting sqref="B3 B5 B7 B9:B11 B13:B15 B17 B19">
    <cfRule type="expression" dxfId="1169" priority="27">
      <formula>OR(IF($B2="Datum",1))</formula>
    </cfRule>
  </conditionalFormatting>
  <conditionalFormatting sqref="C3:E19">
    <cfRule type="expression" dxfId="1168" priority="22">
      <formula>OR(IF($E3="Hela hallen",1))</formula>
    </cfRule>
  </conditionalFormatting>
  <conditionalFormatting sqref="L1:T1048576">
    <cfRule type="cellIs" dxfId="1167" priority="17" operator="equal">
      <formula>"-"</formula>
    </cfRule>
  </conditionalFormatting>
  <conditionalFormatting sqref="C3:F19">
    <cfRule type="expression" dxfId="1165" priority="2645">
      <formula>OR(IF(#REF!=TRUE,1))</formula>
    </cfRule>
  </conditionalFormatting>
  <conditionalFormatting sqref="A4 A6 A8 A12 A16">
    <cfRule type="expression" dxfId="1164" priority="2646">
      <formula>OR(IF(#REF!="Dag",1))</formula>
    </cfRule>
  </conditionalFormatting>
  <conditionalFormatting sqref="B4 B6 B8 B12 B16 B18">
    <cfRule type="expression" dxfId="1163" priority="2648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0473C54-95F0-4A40-811A-BE44BC53911B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A5:B5 A7:B7 A9:B11 A13:B15 A17:B17 A19:B19</xm:sqref>
        </x14:conditionalFormatting>
        <x14:conditionalFormatting xmlns:xm="http://schemas.microsoft.com/office/excel/2006/main">
          <x14:cfRule type="expression" priority="2657" id="{588B620A-2663-48D1-9799-B164451EA610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A6:B6 A8:B8 A12:B12 A16:B16 A18:B18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958159-3E5C-4800-95F4-4E6F9016780D}">
          <x14:formula1>
            <xm:f>Kontaktuppgifter!$A$2:$A$300</xm:f>
          </x14:formula1>
          <xm:sqref>F3 F5 F7 F9:F11 F13:F15 F17 F19</xm:sqref>
        </x14:dataValidation>
        <x14:dataValidation type="list" allowBlank="1" showInputMessage="1" showErrorMessage="1" xr:uid="{E2F882A6-DDE2-40EA-82D7-DD74A4103B04}">
          <x14:formula1>
            <xm:f>Listor!$A$2:$A$150</xm:f>
          </x14:formula1>
          <xm:sqref>E3 E5 E7 E9:E11 E13:E15 E17 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B05D7-488D-47B4-9D29-D899B04507DD}">
  <sheetPr codeName="Blad3"/>
  <dimension ref="A1:Y41"/>
  <sheetViews>
    <sheetView showGridLines="0" zoomScaleNormal="100" workbookViewId="0">
      <pane ySplit="2" topLeftCell="A20" activePane="bottomLeft" state="frozen"/>
      <selection activeCell="C19" sqref="C19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Måndag2</f>
        <v>45663</v>
      </c>
      <c r="W1" s="33">
        <f>Söndag2</f>
        <v>45669</v>
      </c>
      <c r="X1" s="34">
        <f>WEEKNUM(Söndag2, 2)</f>
        <v>2</v>
      </c>
      <c r="Y1" s="35" t="str">
        <f>"V. "&amp;X1&amp;", "&amp;TEXT(V1,"D MMM")&amp;"-"&amp;TEXT(W1,"D MMM")</f>
        <v>V. 2, 6 jan-12 jan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Måndag2</f>
        <v>45663</v>
      </c>
      <c r="C3" s="40">
        <v>0.70833333333333337</v>
      </c>
      <c r="D3" s="41">
        <v>0.83333333333333337</v>
      </c>
      <c r="E3" s="42"/>
      <c r="F3" s="43" t="s">
        <v>873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 t="shared" ref="A5" si="2">PROPER(TEXT(B5, "dddd"))</f>
        <v>Tisdag</v>
      </c>
      <c r="B5" s="195">
        <f t="shared" ref="B5" si="3">Tisdag2</f>
        <v>45664</v>
      </c>
      <c r="C5" s="40">
        <v>0.33333333333333331</v>
      </c>
      <c r="D5" s="48">
        <v>0.39583333333333331</v>
      </c>
      <c r="E5" s="49"/>
      <c r="F5" s="50" t="s">
        <v>508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5"/>
      <c r="C6" s="40">
        <v>0.375</v>
      </c>
      <c r="D6" s="48">
        <v>0.44791666666666669</v>
      </c>
      <c r="E6" s="49" t="s">
        <v>83</v>
      </c>
      <c r="F6" s="50" t="s">
        <v>507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/>
      <c r="B7" s="195"/>
      <c r="C7" s="40">
        <v>0.5625</v>
      </c>
      <c r="D7" s="48">
        <v>0.64583333333333337</v>
      </c>
      <c r="E7" s="49"/>
      <c r="F7" s="50" t="s">
        <v>587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193"/>
      <c r="B8" s="195"/>
      <c r="C8" s="40">
        <v>0.60416666666666663</v>
      </c>
      <c r="D8" s="48">
        <v>0.64583333333333337</v>
      </c>
      <c r="E8" s="49">
        <v>3</v>
      </c>
      <c r="F8" s="50" t="s">
        <v>387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193"/>
      <c r="B9" s="195"/>
      <c r="C9" s="40">
        <v>0.70833333333333337</v>
      </c>
      <c r="D9" s="48">
        <v>0.83333333333333337</v>
      </c>
      <c r="E9" s="49"/>
      <c r="F9" s="50" t="s">
        <v>873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0.83333333333333337</v>
      </c>
      <c r="D10" s="48">
        <v>0.875</v>
      </c>
      <c r="E10" s="49" t="s">
        <v>78</v>
      </c>
      <c r="F10" s="50" t="s">
        <v>605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hidden="1" customHeight="1" x14ac:dyDescent="0.3">
      <c r="A11" s="193" t="s">
        <v>0</v>
      </c>
      <c r="B11" s="195" t="s">
        <v>1</v>
      </c>
      <c r="C11" s="44" t="s">
        <v>824</v>
      </c>
      <c r="D11" s="45" t="s">
        <v>2</v>
      </c>
      <c r="E11" s="46" t="s">
        <v>3</v>
      </c>
      <c r="F11" s="47" t="s">
        <v>4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 t="str">
        <f t="shared" ref="A12" si="4">PROPER(TEXT(B12, "dddd"))</f>
        <v>Onsdag</v>
      </c>
      <c r="B12" s="195">
        <f t="shared" ref="B12" si="5">Onsdag2</f>
        <v>45665</v>
      </c>
      <c r="C12" s="40">
        <v>0.375</v>
      </c>
      <c r="D12" s="48">
        <v>0.45833333333333331</v>
      </c>
      <c r="E12" s="49"/>
      <c r="F12" s="50" t="s">
        <v>737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0.41666666666666669</v>
      </c>
      <c r="D13" s="48">
        <v>0.5</v>
      </c>
      <c r="E13" s="49"/>
      <c r="F13" s="50" t="s">
        <v>643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/>
      <c r="B14" s="195"/>
      <c r="C14" s="40">
        <v>0.55555555555555558</v>
      </c>
      <c r="D14" s="48">
        <v>0.63888888888888884</v>
      </c>
      <c r="E14" s="49"/>
      <c r="F14" s="50" t="s">
        <v>28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193"/>
      <c r="B15" s="195"/>
      <c r="C15" s="40">
        <v>0.55555555555555558</v>
      </c>
      <c r="D15" s="48">
        <v>0.63888888888888884</v>
      </c>
      <c r="E15" s="49"/>
      <c r="F15" s="50" t="s">
        <v>776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193"/>
      <c r="B16" s="195"/>
      <c r="C16" s="40">
        <v>0.70833333333333337</v>
      </c>
      <c r="D16" s="48">
        <v>0.83333333333333337</v>
      </c>
      <c r="E16" s="49"/>
      <c r="F16" s="50" t="s">
        <v>873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s="10" customFormat="1" ht="15" customHeight="1" x14ac:dyDescent="0.3">
      <c r="A17" s="193"/>
      <c r="B17" s="195"/>
      <c r="C17" s="40">
        <v>0.83333333333333337</v>
      </c>
      <c r="D17" s="48">
        <v>0.91666666666666663</v>
      </c>
      <c r="E17" s="49" t="s">
        <v>87</v>
      </c>
      <c r="F17" s="50" t="s">
        <v>408</v>
      </c>
    </row>
    <row r="18" spans="1:24" ht="15" hidden="1" customHeight="1" x14ac:dyDescent="0.3">
      <c r="A18" s="193" t="s">
        <v>0</v>
      </c>
      <c r="B18" s="195" t="s">
        <v>1</v>
      </c>
      <c r="C18" s="44" t="s">
        <v>824</v>
      </c>
      <c r="D18" s="45" t="s">
        <v>2</v>
      </c>
      <c r="E18" s="46" t="s">
        <v>3</v>
      </c>
      <c r="F18" s="47" t="s">
        <v>4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 t="str">
        <f t="shared" ref="A19" si="6">PROPER(TEXT(B19, "dddd"))</f>
        <v>Torsdag</v>
      </c>
      <c r="B19" s="195">
        <f t="shared" ref="B19" si="7">Torsdag2</f>
        <v>45666</v>
      </c>
      <c r="C19" s="40">
        <v>0.375</v>
      </c>
      <c r="D19" s="48">
        <v>0.4375</v>
      </c>
      <c r="E19" s="49" t="s">
        <v>71</v>
      </c>
      <c r="F19" s="50" t="s">
        <v>507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/>
      <c r="B20" s="195"/>
      <c r="C20" s="40">
        <v>0.41666666666666669</v>
      </c>
      <c r="D20" s="48">
        <v>0.5</v>
      </c>
      <c r="E20" s="49"/>
      <c r="F20" s="50" t="s">
        <v>238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193"/>
      <c r="B21" s="195"/>
      <c r="C21" s="40">
        <v>0.5625</v>
      </c>
      <c r="D21" s="48">
        <v>0.64583333333333337</v>
      </c>
      <c r="E21" s="49"/>
      <c r="F21" s="50" t="s">
        <v>218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193"/>
      <c r="B22" s="195"/>
      <c r="C22" s="40">
        <v>0.70833333333333337</v>
      </c>
      <c r="D22" s="48">
        <v>0.83333333333333337</v>
      </c>
      <c r="E22" s="49"/>
      <c r="F22" s="50" t="s">
        <v>873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s="10" customFormat="1" ht="15" customHeight="1" x14ac:dyDescent="0.3">
      <c r="A23" s="193"/>
      <c r="B23" s="195"/>
      <c r="C23" s="40">
        <v>0.83333333333333337</v>
      </c>
      <c r="D23" s="48">
        <v>0.90625</v>
      </c>
      <c r="E23" s="49" t="s">
        <v>92</v>
      </c>
      <c r="F23" s="50" t="s">
        <v>731</v>
      </c>
    </row>
    <row r="24" spans="1:24" ht="15" hidden="1" customHeight="1" x14ac:dyDescent="0.3">
      <c r="A24" s="193" t="s">
        <v>0</v>
      </c>
      <c r="B24" s="195" t="s">
        <v>1</v>
      </c>
      <c r="C24" s="44" t="s">
        <v>824</v>
      </c>
      <c r="D24" s="45" t="s">
        <v>2</v>
      </c>
      <c r="E24" s="46" t="s">
        <v>3</v>
      </c>
      <c r="F24" s="47" t="s">
        <v>4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 t="str">
        <f t="shared" ref="A25" si="8">PROPER(TEXT(B25, "dddd"))</f>
        <v>Fredag</v>
      </c>
      <c r="B25" s="195">
        <f t="shared" ref="B25" si="9">Fredag2</f>
        <v>45667</v>
      </c>
      <c r="C25" s="40">
        <v>0.375</v>
      </c>
      <c r="D25" s="48">
        <v>0.4375</v>
      </c>
      <c r="E25" s="49" t="s">
        <v>53</v>
      </c>
      <c r="F25" s="50" t="s">
        <v>507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/>
      <c r="B26" s="195"/>
      <c r="C26" s="40">
        <v>0.41666666666666669</v>
      </c>
      <c r="D26" s="48">
        <v>0.5</v>
      </c>
      <c r="E26" s="49"/>
      <c r="F26" s="50" t="s">
        <v>629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193"/>
      <c r="B27" s="195"/>
      <c r="C27" s="40">
        <v>0.45833333333333331</v>
      </c>
      <c r="D27" s="48">
        <v>0.54166666666666663</v>
      </c>
      <c r="E27" s="49"/>
      <c r="F27" s="50" t="s">
        <v>800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193"/>
      <c r="B28" s="195"/>
      <c r="C28" s="40">
        <v>0.60416666666666663</v>
      </c>
      <c r="D28" s="48">
        <v>0.625</v>
      </c>
      <c r="E28" s="49">
        <v>10</v>
      </c>
      <c r="F28" s="50" t="s">
        <v>582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s="10" customFormat="1" ht="15" customHeight="1" x14ac:dyDescent="0.3">
      <c r="A29" s="193"/>
      <c r="B29" s="195"/>
      <c r="C29" s="40">
        <v>0.70833333333333337</v>
      </c>
      <c r="D29" s="48">
        <v>0.83333333333333337</v>
      </c>
      <c r="E29" s="49"/>
      <c r="F29" s="50" t="s">
        <v>873</v>
      </c>
    </row>
    <row r="30" spans="1:24" ht="15" hidden="1" customHeight="1" x14ac:dyDescent="0.3">
      <c r="A30" s="193" t="s">
        <v>0</v>
      </c>
      <c r="B30" s="195" t="s">
        <v>1</v>
      </c>
      <c r="C30" s="44" t="s">
        <v>824</v>
      </c>
      <c r="D30" s="45" t="s">
        <v>2</v>
      </c>
      <c r="E30" s="46" t="s">
        <v>3</v>
      </c>
      <c r="F30" s="47" t="s">
        <v>4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193" t="str">
        <f t="shared" ref="A31" si="10">PROPER(TEXT(B31, "dddd"))</f>
        <v>Lördag</v>
      </c>
      <c r="B31" s="195">
        <f t="shared" ref="B31" si="11">Lördag2</f>
        <v>45668</v>
      </c>
      <c r="C31" s="40">
        <v>0.375</v>
      </c>
      <c r="D31" s="48">
        <v>0.625</v>
      </c>
      <c r="E31" s="49"/>
      <c r="F31" s="50" t="s">
        <v>873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193"/>
      <c r="B32" s="195"/>
      <c r="C32" s="40">
        <v>0.625</v>
      </c>
      <c r="D32" s="48">
        <v>0.66666666666666663</v>
      </c>
      <c r="E32" s="49"/>
      <c r="F32" s="50" t="s">
        <v>561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193"/>
      <c r="B33" s="195"/>
      <c r="C33" s="40">
        <v>0.66666666666666663</v>
      </c>
      <c r="D33" s="48">
        <v>0.75</v>
      </c>
      <c r="E33" s="49"/>
      <c r="F33" s="50" t="s">
        <v>148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hidden="1" customHeight="1" x14ac:dyDescent="0.3">
      <c r="A34" s="193" t="s">
        <v>0</v>
      </c>
      <c r="B34" s="195" t="s">
        <v>1</v>
      </c>
      <c r="C34" s="44" t="s">
        <v>824</v>
      </c>
      <c r="D34" s="45" t="s">
        <v>2</v>
      </c>
      <c r="E34" s="46" t="s">
        <v>3</v>
      </c>
      <c r="F34" s="47" t="s">
        <v>4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customHeight="1" x14ac:dyDescent="0.3">
      <c r="A35" s="193" t="str">
        <f t="shared" ref="A35" si="12">PROPER(TEXT(B35, "dddd"))</f>
        <v>Söndag</v>
      </c>
      <c r="B35" s="195">
        <f t="shared" ref="B35" si="13">Söndag2</f>
        <v>45669</v>
      </c>
      <c r="C35" s="40">
        <v>0.39583333333333331</v>
      </c>
      <c r="D35" s="48">
        <v>0.54166666666666663</v>
      </c>
      <c r="E35" s="49"/>
      <c r="F35" s="50" t="s">
        <v>684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customHeight="1" x14ac:dyDescent="0.3">
      <c r="A36" s="193"/>
      <c r="B36" s="195"/>
      <c r="C36" s="40">
        <v>0.54166666666666663</v>
      </c>
      <c r="D36" s="48">
        <v>0.79166666666666663</v>
      </c>
      <c r="E36" s="49"/>
      <c r="F36" s="50" t="s">
        <v>873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193"/>
      <c r="B37" s="195"/>
      <c r="C37" s="40">
        <v>0.79166666666666663</v>
      </c>
      <c r="D37" s="48">
        <v>0.83333333333333337</v>
      </c>
      <c r="E37" s="49" t="s">
        <v>75</v>
      </c>
      <c r="F37" s="50" t="s">
        <v>618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9" spans="1:24" ht="15" customHeight="1" x14ac:dyDescent="0.3">
      <c r="C39" s="40"/>
      <c r="D39" s="41"/>
    </row>
    <row r="40" spans="1:24" ht="15" customHeight="1" x14ac:dyDescent="0.3">
      <c r="C40" s="40"/>
      <c r="D40" s="8"/>
    </row>
    <row r="41" spans="1:24" ht="15" customHeight="1" x14ac:dyDescent="0.3">
      <c r="C41" s="40"/>
      <c r="D41" s="8"/>
    </row>
  </sheetData>
  <sheetProtection algorithmName="SHA-512" hashValue="5/KcUjbiSaC36kgdbNG0gQ9z1UHjuClFKfmr+z7svxz5Qha/azVnW5S16J2zzgrtTMc2S/2k+5BikqQLE7yEtw==" saltValue="pdlDoIbkdXJtZ0CnJlxmvQ==" spinCount="100000" sheet="1" objects="1" scenarios="1" autoFilter="0" pivotTables="0"/>
  <sortState xmlns:xlrd2="http://schemas.microsoft.com/office/spreadsheetml/2017/richdata2" ref="A25:F29">
    <sortCondition ref="C25:C29"/>
  </sortState>
  <conditionalFormatting sqref="A3">
    <cfRule type="cellIs" dxfId="1161" priority="5" operator="equal">
      <formula>"Datum"</formula>
    </cfRule>
    <cfRule type="cellIs" dxfId="1160" priority="6" operator="equal">
      <formula>"Dag"</formula>
    </cfRule>
    <cfRule type="expression" dxfId="1159" priority="8">
      <formula>OR(IF($A2="Dag",1))</formula>
    </cfRule>
  </conditionalFormatting>
  <conditionalFormatting sqref="A11">
    <cfRule type="expression" dxfId="1158" priority="18">
      <formula>OR(IF($A10="Dag",1))</formula>
    </cfRule>
  </conditionalFormatting>
  <conditionalFormatting sqref="A19:A23 A25:A29 A31:A33 A35:A37 A12:A17 A5:A10">
    <cfRule type="cellIs" dxfId="1157" priority="1" operator="equal">
      <formula>"Datum"</formula>
    </cfRule>
    <cfRule type="cellIs" dxfId="1156" priority="2" operator="equal">
      <formula>"Dag"</formula>
    </cfRule>
    <cfRule type="expression" dxfId="1155" priority="4">
      <formula>OR(IF($A4="Dag",1))</formula>
    </cfRule>
  </conditionalFormatting>
  <conditionalFormatting sqref="A1:B2 B3 A4:B4 A11:B11 A18:B18 B19:B23 A24:B24 B25:B29 A30:B30 B31:B33 A34:B34 B35:B37 A38:B1048576 B12:B17 B5:B10">
    <cfRule type="cellIs" dxfId="1154" priority="10" operator="equal">
      <formula>"Datum"</formula>
    </cfRule>
    <cfRule type="cellIs" dxfId="1153" priority="11" operator="equal">
      <formula>"Dag"</formula>
    </cfRule>
  </conditionalFormatting>
  <conditionalFormatting sqref="B19:B20 B16:B17 B3 B5:B14 B22:B23 B25:B27 B29 B31:B32 B35:B37">
    <cfRule type="expression" dxfId="1152" priority="17">
      <formula>OR(IF($B2="Datum",1))</formula>
    </cfRule>
  </conditionalFormatting>
  <conditionalFormatting sqref="B15">
    <cfRule type="expression" dxfId="1151" priority="39">
      <formula>OR(IF($B14="Datum",1))</formula>
    </cfRule>
  </conditionalFormatting>
  <conditionalFormatting sqref="B21">
    <cfRule type="expression" dxfId="1150" priority="47">
      <formula>OR(IF($B20="Datum",1))</formula>
    </cfRule>
  </conditionalFormatting>
  <conditionalFormatting sqref="B28">
    <cfRule type="expression" dxfId="1149" priority="55">
      <formula>OR(IF($B27="Datum",1))</formula>
    </cfRule>
  </conditionalFormatting>
  <conditionalFormatting sqref="B33">
    <cfRule type="expression" dxfId="1148" priority="63">
      <formula>OR(IF($B32="Datum",1))</formula>
    </cfRule>
  </conditionalFormatting>
  <conditionalFormatting sqref="C3:E37">
    <cfRule type="expression" dxfId="1147" priority="14">
      <formula>OR(IF($E3="Hela hallen",1))</formula>
    </cfRule>
  </conditionalFormatting>
  <conditionalFormatting sqref="L1:T1048576">
    <cfRule type="cellIs" dxfId="1146" priority="9" operator="equal">
      <formula>"-"</formula>
    </cfRule>
  </conditionalFormatting>
  <conditionalFormatting sqref="A18">
    <cfRule type="expression" dxfId="1145" priority="563">
      <formula>OR(IF($A17="Dag",1))</formula>
    </cfRule>
  </conditionalFormatting>
  <conditionalFormatting sqref="B18">
    <cfRule type="expression" dxfId="1144" priority="570">
      <formula>OR(IF($B17="Datum",1))</formula>
    </cfRule>
  </conditionalFormatting>
  <conditionalFormatting sqref="C3:F37">
    <cfRule type="expression" dxfId="1142" priority="2659">
      <formula>OR(IF(#REF!=TRUE,1))</formula>
    </cfRule>
  </conditionalFormatting>
  <conditionalFormatting sqref="A4 A24 A30 A34">
    <cfRule type="expression" dxfId="1141" priority="2660">
      <formula>OR(IF(#REF!="Dag",1))</formula>
    </cfRule>
  </conditionalFormatting>
  <conditionalFormatting sqref="B4 B24 B30 B34">
    <cfRule type="expression" dxfId="1140" priority="2662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E954C66-5BEE-4946-8714-CDFE069D9EFD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A5:B23 A25:B29 A31:B33 A35:B37</xm:sqref>
        </x14:conditionalFormatting>
        <x14:conditionalFormatting xmlns:xm="http://schemas.microsoft.com/office/excel/2006/main">
          <x14:cfRule type="expression" priority="2671" id="{58D9D86D-42CA-4460-9F6D-01BEECD4B294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A24:B24 A30:B30 A34:B34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BB61A05-EE66-40C6-A5B2-A7123B2E437B}">
          <x14:formula1>
            <xm:f>Listor!$A$2:$A$150</xm:f>
          </x14:formula1>
          <xm:sqref>E3 E19:E23 E25:E29 E31:E33 E35:E37 E12:E17 E5:E10</xm:sqref>
        </x14:dataValidation>
        <x14:dataValidation type="list" allowBlank="1" showInputMessage="1" showErrorMessage="1" xr:uid="{B4ED3DA0-4482-4A48-9ACC-4A5BC9464C42}">
          <x14:formula1>
            <xm:f>Kontaktuppgifter!$A$2:$A$300</xm:f>
          </x14:formula1>
          <xm:sqref>F3 F19:F23 F25:F29 F31:F33 F35:F37 F12:F17 F5:F10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4E9B-3384-4DA4-AEE1-B29895B9073E}">
  <sheetPr codeName="Blad4">
    <pageSetUpPr fitToPage="1"/>
  </sheetPr>
  <dimension ref="A1:Y43"/>
  <sheetViews>
    <sheetView showGridLines="0" zoomScaleNormal="100" workbookViewId="0">
      <pane ySplit="2" topLeftCell="A13" activePane="bottomLeft" state="frozen"/>
      <selection activeCell="C19" sqref="C19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10.88671875" style="31" bestFit="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Måndag3</f>
        <v>45670</v>
      </c>
      <c r="W1" s="33">
        <f>Söndag3</f>
        <v>45676</v>
      </c>
      <c r="X1" s="34">
        <f>WEEKNUM(Söndag3, 2)</f>
        <v>3</v>
      </c>
      <c r="Y1" s="35" t="str">
        <f>"V. "&amp;X1&amp;", "&amp;TEXT(V1,"D MMM")&amp;"-"&amp;TEXT(W1,"D MMM")</f>
        <v>V. 3, 13 jan-19 jan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Måndag3</f>
        <v>45670</v>
      </c>
      <c r="C3" s="40">
        <v>0.35416666666666669</v>
      </c>
      <c r="D3" s="41">
        <v>0.4513888888888889</v>
      </c>
      <c r="E3" s="42" t="s">
        <v>60</v>
      </c>
      <c r="F3" s="43" t="s">
        <v>433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193"/>
      <c r="B4" s="194"/>
      <c r="C4" s="40">
        <v>0.54166666666666663</v>
      </c>
      <c r="D4" s="41">
        <v>0.66666666666666663</v>
      </c>
      <c r="E4" s="42" t="s">
        <v>78</v>
      </c>
      <c r="F4" s="43" t="s">
        <v>567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193"/>
      <c r="B5" s="194"/>
      <c r="C5" s="40">
        <v>0.70833333333333337</v>
      </c>
      <c r="D5" s="41">
        <v>0.83333333333333337</v>
      </c>
      <c r="E5" s="42"/>
      <c r="F5" s="43" t="s">
        <v>873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4"/>
      <c r="C6" s="40">
        <v>0.83333333333333337</v>
      </c>
      <c r="D6" s="41">
        <v>0.875</v>
      </c>
      <c r="E6" s="42" t="s">
        <v>73</v>
      </c>
      <c r="F6" s="43" t="s">
        <v>361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s="10" customFormat="1" ht="20.100000000000001" hidden="1" customHeight="1" x14ac:dyDescent="0.3">
      <c r="A7" s="193" t="s">
        <v>0</v>
      </c>
      <c r="B7" s="195" t="s">
        <v>1</v>
      </c>
      <c r="C7" s="44" t="s">
        <v>824</v>
      </c>
      <c r="D7" s="45" t="s">
        <v>2</v>
      </c>
      <c r="E7" s="46" t="s">
        <v>3</v>
      </c>
      <c r="F7" s="47" t="s">
        <v>4</v>
      </c>
    </row>
    <row r="8" spans="1:25" ht="15" customHeight="1" x14ac:dyDescent="0.3">
      <c r="A8" s="193" t="str">
        <f t="shared" ref="A8" si="2">PROPER(TEXT(B8, "dddd"))</f>
        <v>Tisdag</v>
      </c>
      <c r="B8" s="195">
        <f t="shared" ref="B8" si="3">Tisdag3</f>
        <v>45671</v>
      </c>
      <c r="C8" s="40">
        <v>0.35416666666666669</v>
      </c>
      <c r="D8" s="48">
        <v>0.4513888888888889</v>
      </c>
      <c r="E8" s="49" t="s">
        <v>60</v>
      </c>
      <c r="F8" s="50" t="s">
        <v>433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193"/>
      <c r="B9" s="195"/>
      <c r="C9" s="40">
        <v>0.52083333333333337</v>
      </c>
      <c r="D9" s="48">
        <v>0.5625</v>
      </c>
      <c r="E9" s="49" t="s">
        <v>86</v>
      </c>
      <c r="F9" s="50" t="s">
        <v>529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0.5625</v>
      </c>
      <c r="D10" s="48">
        <v>0.64583333333333337</v>
      </c>
      <c r="E10" s="49"/>
      <c r="F10" s="50" t="s">
        <v>587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0.70833333333333337</v>
      </c>
      <c r="D11" s="48">
        <v>0.83333333333333337</v>
      </c>
      <c r="E11" s="49"/>
      <c r="F11" s="50" t="s">
        <v>873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0.83333333333333337</v>
      </c>
      <c r="D12" s="48">
        <v>0.875</v>
      </c>
      <c r="E12" s="49" t="s">
        <v>78</v>
      </c>
      <c r="F12" s="50" t="s">
        <v>605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s="10" customFormat="1" ht="20.100000000000001" hidden="1" customHeight="1" x14ac:dyDescent="0.3">
      <c r="A13" s="193" t="s">
        <v>0</v>
      </c>
      <c r="B13" s="195" t="s">
        <v>1</v>
      </c>
      <c r="C13" s="44" t="s">
        <v>824</v>
      </c>
      <c r="D13" s="45" t="s">
        <v>2</v>
      </c>
      <c r="E13" s="46" t="s">
        <v>3</v>
      </c>
      <c r="F13" s="47" t="s">
        <v>4</v>
      </c>
    </row>
    <row r="14" spans="1:25" ht="15" customHeight="1" x14ac:dyDescent="0.3">
      <c r="A14" s="193" t="str">
        <f t="shared" ref="A14" si="4">PROPER(TEXT(B14, "dddd"))</f>
        <v>Onsdag</v>
      </c>
      <c r="B14" s="195">
        <f t="shared" ref="B14" si="5">Onsdag3</f>
        <v>45672</v>
      </c>
      <c r="C14" s="40">
        <v>0.375</v>
      </c>
      <c r="D14" s="48">
        <v>0.45833333333333331</v>
      </c>
      <c r="E14" s="49"/>
      <c r="F14" s="50" t="s">
        <v>737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193"/>
      <c r="B15" s="195"/>
      <c r="C15" s="40">
        <v>0.375</v>
      </c>
      <c r="D15" s="48">
        <v>0.41666666666666669</v>
      </c>
      <c r="E15" s="49"/>
      <c r="F15" s="50" t="s">
        <v>548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193"/>
      <c r="B16" s="195"/>
      <c r="C16" s="40">
        <v>0.41666666666666669</v>
      </c>
      <c r="D16" s="48">
        <v>0.5</v>
      </c>
      <c r="E16" s="49"/>
      <c r="F16" s="50" t="s">
        <v>643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0.55555555555555558</v>
      </c>
      <c r="D17" s="48">
        <v>0.63888888888888884</v>
      </c>
      <c r="E17" s="49"/>
      <c r="F17" s="50" t="s">
        <v>28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/>
      <c r="B18" s="195"/>
      <c r="C18" s="40">
        <v>0.55555555555555558</v>
      </c>
      <c r="D18" s="48">
        <v>0.63888888888888884</v>
      </c>
      <c r="E18" s="49"/>
      <c r="F18" s="50" t="s">
        <v>776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/>
      <c r="B19" s="195"/>
      <c r="C19" s="40">
        <v>0.66666666666666663</v>
      </c>
      <c r="D19" s="48">
        <v>0.70833333333333337</v>
      </c>
      <c r="E19" s="49">
        <v>2</v>
      </c>
      <c r="F19" s="50" t="s">
        <v>556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/>
      <c r="B20" s="195"/>
      <c r="C20" s="40">
        <v>0.70833333333333337</v>
      </c>
      <c r="D20" s="48">
        <v>0.83333333333333337</v>
      </c>
      <c r="E20" s="49"/>
      <c r="F20" s="50" t="s">
        <v>873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193"/>
      <c r="B21" s="195"/>
      <c r="C21" s="40">
        <v>0.83333333333333337</v>
      </c>
      <c r="D21" s="48">
        <v>0.875</v>
      </c>
      <c r="E21" s="49" t="s">
        <v>87</v>
      </c>
      <c r="F21" s="50" t="s">
        <v>408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s="10" customFormat="1" ht="20.100000000000001" hidden="1" customHeight="1" x14ac:dyDescent="0.3">
      <c r="A22" s="193" t="s">
        <v>0</v>
      </c>
      <c r="B22" s="195" t="s">
        <v>1</v>
      </c>
      <c r="C22" s="44" t="s">
        <v>824</v>
      </c>
      <c r="D22" s="45" t="s">
        <v>2</v>
      </c>
      <c r="E22" s="46" t="s">
        <v>3</v>
      </c>
      <c r="F22" s="47" t="s">
        <v>4</v>
      </c>
    </row>
    <row r="23" spans="1:24" ht="15" customHeight="1" x14ac:dyDescent="0.3">
      <c r="A23" s="193" t="str">
        <f t="shared" ref="A23" si="6">PROPER(TEXT(B23, "dddd"))</f>
        <v>Torsdag</v>
      </c>
      <c r="B23" s="195">
        <f t="shared" ref="B23" si="7">Torsdag3</f>
        <v>45673</v>
      </c>
      <c r="C23" s="40">
        <v>0.375</v>
      </c>
      <c r="D23" s="48">
        <v>0.4375</v>
      </c>
      <c r="E23" s="49" t="s">
        <v>71</v>
      </c>
      <c r="F23" s="50" t="s">
        <v>507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193"/>
      <c r="B24" s="195"/>
      <c r="C24" s="40">
        <v>0.41666666666666669</v>
      </c>
      <c r="D24" s="48">
        <v>0.5</v>
      </c>
      <c r="E24" s="49"/>
      <c r="F24" s="50" t="s">
        <v>238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/>
      <c r="B25" s="195"/>
      <c r="C25" s="40">
        <v>0.54166666666666663</v>
      </c>
      <c r="D25" s="48">
        <v>0.66666666666666663</v>
      </c>
      <c r="E25" s="49" t="s">
        <v>117</v>
      </c>
      <c r="F25" s="50" t="s">
        <v>289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/>
      <c r="B26" s="195"/>
      <c r="C26" s="40">
        <v>0.5625</v>
      </c>
      <c r="D26" s="48">
        <v>0.64583333333333337</v>
      </c>
      <c r="E26" s="49"/>
      <c r="F26" s="50" t="s">
        <v>218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193"/>
      <c r="B27" s="195"/>
      <c r="C27" s="40">
        <v>0.70833333333333337</v>
      </c>
      <c r="D27" s="48">
        <v>0.83333333333333337</v>
      </c>
      <c r="E27" s="49"/>
      <c r="F27" s="50" t="s">
        <v>873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193"/>
      <c r="B28" s="195"/>
      <c r="C28" s="40">
        <v>0.83333333333333337</v>
      </c>
      <c r="D28" s="48">
        <v>0.90625</v>
      </c>
      <c r="E28" s="49" t="s">
        <v>92</v>
      </c>
      <c r="F28" s="50" t="s">
        <v>731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hidden="1" customHeight="1" x14ac:dyDescent="0.3">
      <c r="A29" s="193" t="s">
        <v>0</v>
      </c>
      <c r="B29" s="195" t="s">
        <v>1</v>
      </c>
      <c r="C29" s="44" t="s">
        <v>824</v>
      </c>
      <c r="D29" s="45" t="s">
        <v>2</v>
      </c>
      <c r="E29" s="46" t="s">
        <v>3</v>
      </c>
      <c r="F29" s="47" t="s">
        <v>4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193" t="str">
        <f t="shared" ref="A30" si="8">PROPER(TEXT(B30, "dddd"))</f>
        <v>Fredag</v>
      </c>
      <c r="B30" s="195">
        <f t="shared" ref="B30" si="9">Fredag3</f>
        <v>45674</v>
      </c>
      <c r="C30" s="40">
        <v>0.375</v>
      </c>
      <c r="D30" s="48">
        <v>0.4375</v>
      </c>
      <c r="E30" s="49" t="s">
        <v>53</v>
      </c>
      <c r="F30" s="50" t="s">
        <v>507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193"/>
      <c r="B31" s="195"/>
      <c r="C31" s="40">
        <v>0.41666666666666669</v>
      </c>
      <c r="D31" s="48">
        <v>0.5</v>
      </c>
      <c r="E31" s="49"/>
      <c r="F31" s="50" t="s">
        <v>629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193"/>
      <c r="B32" s="195"/>
      <c r="C32" s="40">
        <v>0.45833333333333331</v>
      </c>
      <c r="D32" s="48">
        <v>0.54166666666666663</v>
      </c>
      <c r="E32" s="49"/>
      <c r="F32" s="50" t="s">
        <v>800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193"/>
      <c r="B33" s="195"/>
      <c r="C33" s="40">
        <v>0.54166666666666663</v>
      </c>
      <c r="D33" s="48">
        <v>0.58333333333333337</v>
      </c>
      <c r="E33" s="49" t="s">
        <v>87</v>
      </c>
      <c r="F33" s="50" t="s">
        <v>491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customHeight="1" x14ac:dyDescent="0.3">
      <c r="A34" s="193"/>
      <c r="B34" s="195"/>
      <c r="C34" s="40">
        <v>0.61458333333333337</v>
      </c>
      <c r="D34" s="48">
        <v>0.65625</v>
      </c>
      <c r="E34" s="49"/>
      <c r="F34" s="50" t="s">
        <v>582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s="10" customFormat="1" ht="15" customHeight="1" x14ac:dyDescent="0.3">
      <c r="A35" s="193"/>
      <c r="B35" s="195"/>
      <c r="C35" s="40">
        <v>0.70833333333333337</v>
      </c>
      <c r="D35" s="48">
        <v>0.83333333333333337</v>
      </c>
      <c r="E35" s="49"/>
      <c r="F35" s="50" t="s">
        <v>873</v>
      </c>
    </row>
    <row r="36" spans="1:24" ht="15" hidden="1" customHeight="1" x14ac:dyDescent="0.3">
      <c r="A36" s="193" t="s">
        <v>0</v>
      </c>
      <c r="B36" s="195" t="s">
        <v>1</v>
      </c>
      <c r="C36" s="44" t="s">
        <v>824</v>
      </c>
      <c r="D36" s="45" t="s">
        <v>2</v>
      </c>
      <c r="E36" s="46" t="s">
        <v>3</v>
      </c>
      <c r="F36" s="47" t="s">
        <v>4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193" t="str">
        <f t="shared" ref="A37" si="10">PROPER(TEXT(B37, "dddd"))</f>
        <v>Lördag</v>
      </c>
      <c r="B37" s="195">
        <f t="shared" ref="B37" si="11">Lördag3</f>
        <v>45675</v>
      </c>
      <c r="C37" s="40" t="s">
        <v>814</v>
      </c>
      <c r="D37" s="48"/>
      <c r="E37" s="49"/>
      <c r="F37" s="50" t="s">
        <v>393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8" spans="1:24" ht="15" hidden="1" customHeight="1" x14ac:dyDescent="0.3">
      <c r="A38" s="193" t="s">
        <v>0</v>
      </c>
      <c r="B38" s="195" t="s">
        <v>1</v>
      </c>
      <c r="C38" s="44" t="s">
        <v>824</v>
      </c>
      <c r="D38" s="45" t="s">
        <v>2</v>
      </c>
      <c r="E38" s="46" t="s">
        <v>3</v>
      </c>
      <c r="F38" s="47" t="s">
        <v>4</v>
      </c>
      <c r="G38"/>
      <c r="H38" s="1"/>
      <c r="I38" s="1"/>
      <c r="L38"/>
      <c r="M38"/>
      <c r="N38"/>
      <c r="O38"/>
      <c r="P38"/>
      <c r="Q38"/>
      <c r="R38"/>
      <c r="S38"/>
      <c r="T38"/>
      <c r="V38"/>
      <c r="W38"/>
      <c r="X38"/>
    </row>
    <row r="39" spans="1:24" ht="15" customHeight="1" x14ac:dyDescent="0.3">
      <c r="A39" s="193" t="str">
        <f t="shared" ref="A39" si="12">PROPER(TEXT(B39, "dddd"))</f>
        <v>Söndag</v>
      </c>
      <c r="B39" s="195">
        <f t="shared" ref="B39" si="13">Söndag3</f>
        <v>45676</v>
      </c>
      <c r="C39" s="40" t="s">
        <v>814</v>
      </c>
      <c r="D39" s="48"/>
      <c r="E39" s="49"/>
      <c r="F39" s="50" t="s">
        <v>393</v>
      </c>
      <c r="G39"/>
      <c r="H39" s="1"/>
      <c r="I39" s="1"/>
      <c r="L39"/>
      <c r="M39"/>
      <c r="N39"/>
      <c r="O39"/>
      <c r="P39"/>
      <c r="Q39"/>
      <c r="R39"/>
      <c r="S39"/>
      <c r="T39"/>
      <c r="V39"/>
      <c r="W39"/>
      <c r="X39"/>
    </row>
    <row r="41" spans="1:24" ht="15" customHeight="1" x14ac:dyDescent="0.3">
      <c r="C41" s="40"/>
      <c r="D41" s="41"/>
    </row>
    <row r="42" spans="1:24" ht="15" customHeight="1" x14ac:dyDescent="0.3">
      <c r="C42" s="40"/>
      <c r="D42" s="8"/>
    </row>
    <row r="43" spans="1:24" ht="15" customHeight="1" x14ac:dyDescent="0.3">
      <c r="C43" s="40"/>
      <c r="D43" s="8"/>
    </row>
  </sheetData>
  <sheetProtection algorithmName="SHA-512" hashValue="IT1hFJKhPgKZZpRB2LRacpFfpZbjZ6WskRA6ZKIlikt96dTIWg2YZRg0Gon+cND1CyJd58OP1A1YtX+Oj+GrzA==" saltValue="2oRLIwUl31ovxUnoRpRn8g==" spinCount="100000" sheet="1" objects="1" scenarios="1" autoFilter="0" pivotTables="0"/>
  <sortState xmlns:xlrd2="http://schemas.microsoft.com/office/spreadsheetml/2017/richdata2" ref="A30:F35">
    <sortCondition ref="C30:C35"/>
  </sortState>
  <conditionalFormatting sqref="A3:A6 A14:A18 A20:A21 A37 A39 A12 A10 A23:A35">
    <cfRule type="expression" dxfId="1138" priority="4">
      <formula>OR(IF($A2="Dag",1))</formula>
    </cfRule>
  </conditionalFormatting>
  <conditionalFormatting sqref="A3:A6 A14:A21 A37 A39 A23:A28 A30:A35 A8:B12">
    <cfRule type="cellIs" dxfId="1137" priority="1" operator="equal">
      <formula>"Datum"</formula>
    </cfRule>
    <cfRule type="cellIs" dxfId="1136" priority="2" operator="equal">
      <formula>"Dag"</formula>
    </cfRule>
  </conditionalFormatting>
  <conditionalFormatting sqref="A38">
    <cfRule type="expression" dxfId="1135" priority="14">
      <formula>OR(IF(#REF!="Dag",1))</formula>
    </cfRule>
  </conditionalFormatting>
  <conditionalFormatting sqref="A19">
    <cfRule type="expression" dxfId="1134" priority="71">
      <formula>OR(IF($A15="Dag",1))</formula>
    </cfRule>
  </conditionalFormatting>
  <conditionalFormatting sqref="A1:B2 B3:B6 A7:B7 A13:B13 B14:B21 A22:B22 A29:B29 A36:B36 B37 A38:B38 B39 A40:B1048576 B23:B28 B30:B35">
    <cfRule type="cellIs" dxfId="1133" priority="6" operator="equal">
      <formula>"Datum"</formula>
    </cfRule>
    <cfRule type="cellIs" dxfId="1132" priority="7" operator="equal">
      <formula>"Dag"</formula>
    </cfRule>
  </conditionalFormatting>
  <conditionalFormatting sqref="B3:B6 B10 B12 B14:B18 B20:B21 B23:B35 B37 B39">
    <cfRule type="expression" dxfId="1131" priority="13">
      <formula>OR(IF($B2="Datum",1))</formula>
    </cfRule>
  </conditionalFormatting>
  <conditionalFormatting sqref="B19">
    <cfRule type="expression" dxfId="1130" priority="80">
      <formula>OR(IF($B15="Datum",1))</formula>
    </cfRule>
  </conditionalFormatting>
  <conditionalFormatting sqref="C3:E39">
    <cfRule type="expression" dxfId="1129" priority="10">
      <formula>OR(IF($E3="Hela hallen",1))</formula>
    </cfRule>
  </conditionalFormatting>
  <conditionalFormatting sqref="L1:T1048576">
    <cfRule type="cellIs" dxfId="1128" priority="5" operator="equal">
      <formula>"-"</formula>
    </cfRule>
  </conditionalFormatting>
  <conditionalFormatting sqref="A36">
    <cfRule type="expression" dxfId="1127" priority="800">
      <formula>OR(IF($A35="Dag",1))</formula>
    </cfRule>
  </conditionalFormatting>
  <conditionalFormatting sqref="B36">
    <cfRule type="expression" dxfId="1126" priority="804">
      <formula>OR(IF($B35="Datum",1))</formula>
    </cfRule>
  </conditionalFormatting>
  <conditionalFormatting sqref="C3:F39">
    <cfRule type="expression" dxfId="1121" priority="2673">
      <formula>OR(IF(#REF!=TRUE,1))</formula>
    </cfRule>
  </conditionalFormatting>
  <conditionalFormatting sqref="A11 A7:A9 A13 A22">
    <cfRule type="expression" dxfId="1120" priority="2674">
      <formula>OR(IF(#REF!="Dag",1))</formula>
    </cfRule>
  </conditionalFormatting>
  <conditionalFormatting sqref="B11 B7:B9 B13 B22 B38">
    <cfRule type="expression" dxfId="1119" priority="2676">
      <formula>OR(IF(#REF!="Datum",1))</formula>
    </cfRule>
  </conditionalFormatting>
  <printOptions horizontalCentered="1" verticalCentered="1"/>
  <pageMargins left="0.25" right="0.25" top="0.75" bottom="0.75" header="0.3" footer="0.3"/>
  <pageSetup paperSize="8" scale="26" orientation="portrait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3775023-B6D9-49DE-8A8E-2D20C758F39E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A14:A18 A3:B6 A10:B10 A12:B12 A20:B21 A23:B37 A39:B39</xm:sqref>
        </x14:conditionalFormatting>
        <x14:conditionalFormatting xmlns:xm="http://schemas.microsoft.com/office/excel/2006/main">
          <x14:cfRule type="expression" priority="70" id="{83775023-B6D9-49DE-8A8E-2D20C758F39E}">
            <xm:f>AND(IF(ISERROR(MATCH($B19,Kalenderår!$A$3:$A$17,0)),FALSE,TRUE), IF($B15="Datum",TRUE,FALSE), IF($A15="Dag",TRUE,FALSE))</xm:f>
            <x14:dxf>
              <font>
                <color rgb="FFC00000"/>
              </font>
            </x14:dxf>
          </x14:cfRule>
          <xm:sqref>A19</xm:sqref>
        </x14:conditionalFormatting>
        <x14:conditionalFormatting xmlns:xm="http://schemas.microsoft.com/office/excel/2006/main">
          <x14:cfRule type="expression" priority="9" id="{48A7FAAE-9F6D-45B4-AB94-D2555852E5BB}">
            <xm:f>AND(IF(ISERROR(MATCH($B14,Kalenderår!$A$3:$A$17,0)),FALSE,TRUE), IF($B13="Datum",TRUE,FALSE), IF($A13="Dag",TRUE,FALSE))</xm:f>
            <x14:dxf>
              <font>
                <color rgb="FFC00000"/>
              </font>
            </x14:dxf>
          </x14:cfRule>
          <xm:sqref>B14:B18</xm:sqref>
        </x14:conditionalFormatting>
        <x14:conditionalFormatting xmlns:xm="http://schemas.microsoft.com/office/excel/2006/main">
          <x14:cfRule type="expression" priority="77" id="{48A7FAAE-9F6D-45B4-AB94-D2555852E5BB}">
            <xm:f>AND(IF(ISERROR(MATCH($B19,Kalenderår!$A$3:$A$17,0)),FALSE,TRUE), IF($B15="Datum",TRUE,FALSE), IF($A15="Dag",TRUE,FALSE))</xm:f>
            <x14:dxf>
              <font>
                <color rgb="FFC00000"/>
              </font>
            </x14:dxf>
          </x14:cfRule>
          <xm:sqref>B19</xm:sqref>
        </x14:conditionalFormatting>
        <x14:conditionalFormatting xmlns:xm="http://schemas.microsoft.com/office/excel/2006/main">
          <x14:cfRule type="expression" priority="2685" id="{48A7FAAE-9F6D-45B4-AB94-D2555852E5BB}">
            <xm:f>AND(IF(ISERROR(MATCH($B7,Kalenderår!$A$3:$A$17,0)),FALSE,TRUE), IF(#REF!="Datum",TRUE,FALSE), IF(#REF!="Dag",TRUE,FALSE))</xm:f>
            <x14:dxf>
              <font>
                <color rgb="FFC00000"/>
              </font>
            </x14:dxf>
          </x14:cfRule>
          <xm:sqref>A11:B11 A7:B9 A13:B13 A22:B22 A38:B38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7929F56-63D8-4AB7-B4C2-30791E71816F}">
          <x14:formula1>
            <xm:f>Listor!$A$2:$A$150</xm:f>
          </x14:formula1>
          <xm:sqref>E3:E6 E14:E21 E37 E39 E23:E28 E30:E35 E8:E12</xm:sqref>
        </x14:dataValidation>
        <x14:dataValidation type="list" allowBlank="1" showInputMessage="1" showErrorMessage="1" xr:uid="{A55EEDAC-E21E-4B10-99A9-711715111D01}">
          <x14:formula1>
            <xm:f>Kontaktuppgifter!$A$2:$A$300</xm:f>
          </x14:formula1>
          <xm:sqref>F3:F6 F14:F21 F37 F39 F23:F28 F30:F35 F8:F12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253D1-1A72-4D1D-8E1E-028B6B68D431}">
  <sheetPr codeName="Blad5">
    <pageSetUpPr fitToPage="1"/>
  </sheetPr>
  <dimension ref="A1:Y46"/>
  <sheetViews>
    <sheetView showGridLines="0" zoomScaleNormal="100" workbookViewId="0">
      <pane ySplit="2" topLeftCell="A33" activePane="bottomLeft" state="frozen"/>
      <selection activeCell="C19" sqref="C19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Måndag4</f>
        <v>45677</v>
      </c>
      <c r="W1" s="33">
        <f>Söndag4</f>
        <v>45683</v>
      </c>
      <c r="X1" s="34">
        <f>WEEKNUM(Söndag4, 2)</f>
        <v>4</v>
      </c>
      <c r="Y1" s="35" t="str">
        <f>"V. "&amp;X1&amp;", "&amp;TEXT(V1,"D MMM")&amp;"-"&amp;TEXT(W1,"D MMM")</f>
        <v>V. 4, 20 jan-26 jan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Måndag4</f>
        <v>45677</v>
      </c>
      <c r="C3" s="40">
        <v>0.625</v>
      </c>
      <c r="D3" s="41">
        <v>0.66666666666666663</v>
      </c>
      <c r="E3" s="42"/>
      <c r="F3" s="43" t="s">
        <v>582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193"/>
      <c r="B4" s="194"/>
      <c r="C4" s="40">
        <v>0.70833333333333337</v>
      </c>
      <c r="D4" s="41">
        <v>0.83333333333333337</v>
      </c>
      <c r="E4" s="42"/>
      <c r="F4" s="43" t="s">
        <v>873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193"/>
      <c r="B5" s="194"/>
      <c r="C5" s="40">
        <v>0.83333333333333337</v>
      </c>
      <c r="D5" s="41">
        <v>0.875</v>
      </c>
      <c r="E5" s="42" t="s">
        <v>78</v>
      </c>
      <c r="F5" s="43" t="s">
        <v>280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4"/>
      <c r="C6" s="40">
        <v>0.83333333333333337</v>
      </c>
      <c r="D6" s="41">
        <v>0.875</v>
      </c>
      <c r="E6" s="42" t="s">
        <v>72</v>
      </c>
      <c r="F6" s="43" t="s">
        <v>361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s="10" customFormat="1" ht="20.100000000000001" hidden="1" customHeight="1" x14ac:dyDescent="0.3">
      <c r="A7" s="193" t="s">
        <v>0</v>
      </c>
      <c r="B7" s="195" t="s">
        <v>1</v>
      </c>
      <c r="C7" s="44" t="s">
        <v>824</v>
      </c>
      <c r="D7" s="45" t="s">
        <v>2</v>
      </c>
      <c r="E7" s="46" t="s">
        <v>3</v>
      </c>
      <c r="F7" s="47" t="s">
        <v>4</v>
      </c>
    </row>
    <row r="8" spans="1:25" ht="15" customHeight="1" x14ac:dyDescent="0.3">
      <c r="A8" s="193" t="str">
        <f t="shared" ref="A8" si="2">PROPER(TEXT(B8, "dddd"))</f>
        <v>Tisdag</v>
      </c>
      <c r="B8" s="195">
        <f t="shared" ref="B8" si="3">Tisdag4</f>
        <v>45678</v>
      </c>
      <c r="C8" s="40">
        <v>0.35416666666666669</v>
      </c>
      <c r="D8" s="48">
        <v>0.39583333333333331</v>
      </c>
      <c r="E8" s="49" t="s">
        <v>117</v>
      </c>
      <c r="F8" s="50" t="s">
        <v>453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193"/>
      <c r="B9" s="195"/>
      <c r="C9" s="40">
        <v>0.52083333333333337</v>
      </c>
      <c r="D9" s="48">
        <v>0.5625</v>
      </c>
      <c r="E9" s="49" t="s">
        <v>86</v>
      </c>
      <c r="F9" s="50" t="s">
        <v>529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0.5625</v>
      </c>
      <c r="D10" s="48">
        <v>0.64583333333333337</v>
      </c>
      <c r="E10" s="49"/>
      <c r="F10" s="50" t="s">
        <v>587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0.60416666666666663</v>
      </c>
      <c r="D11" s="48">
        <v>0.70833333333333337</v>
      </c>
      <c r="E11" s="49" t="s">
        <v>72</v>
      </c>
      <c r="F11" s="50" t="s">
        <v>229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0.70833333333333337</v>
      </c>
      <c r="D12" s="48">
        <v>0.83333333333333337</v>
      </c>
      <c r="E12" s="49"/>
      <c r="F12" s="50" t="s">
        <v>873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0.83333333333333337</v>
      </c>
      <c r="D13" s="48">
        <v>0.875</v>
      </c>
      <c r="E13" s="49" t="s">
        <v>78</v>
      </c>
      <c r="F13" s="50" t="s">
        <v>605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193" t="s">
        <v>0</v>
      </c>
      <c r="B14" s="195" t="s">
        <v>1</v>
      </c>
      <c r="C14" s="44" t="s">
        <v>824</v>
      </c>
      <c r="D14" s="45" t="s">
        <v>2</v>
      </c>
      <c r="E14" s="46" t="s">
        <v>3</v>
      </c>
      <c r="F14" s="47" t="s">
        <v>4</v>
      </c>
    </row>
    <row r="15" spans="1:25" ht="15" customHeight="1" x14ac:dyDescent="0.3">
      <c r="A15" s="193" t="str">
        <f t="shared" ref="A15" si="4">PROPER(TEXT(B15, "dddd"))</f>
        <v>Onsdag</v>
      </c>
      <c r="B15" s="195">
        <f t="shared" ref="B15" si="5">Onsdag4</f>
        <v>45679</v>
      </c>
      <c r="C15" s="40">
        <v>0.35416666666666669</v>
      </c>
      <c r="D15" s="48">
        <v>0.39583333333333331</v>
      </c>
      <c r="E15" s="49" t="s">
        <v>117</v>
      </c>
      <c r="F15" s="50" t="s">
        <v>453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193"/>
      <c r="B16" s="195"/>
      <c r="C16" s="40">
        <v>0.375</v>
      </c>
      <c r="D16" s="48">
        <v>0.45833333333333331</v>
      </c>
      <c r="E16" s="49"/>
      <c r="F16" s="50" t="s">
        <v>737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0.41666666666666669</v>
      </c>
      <c r="D17" s="48">
        <v>0.5</v>
      </c>
      <c r="E17" s="49"/>
      <c r="F17" s="50" t="s">
        <v>643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/>
      <c r="B18" s="195"/>
      <c r="C18" s="40">
        <v>0.55555555555555558</v>
      </c>
      <c r="D18" s="48">
        <v>0.63888888888888884</v>
      </c>
      <c r="E18" s="49"/>
      <c r="F18" s="50" t="s">
        <v>28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/>
      <c r="B19" s="195"/>
      <c r="C19" s="40">
        <v>0.55555555555555558</v>
      </c>
      <c r="D19" s="48">
        <v>0.63888888888888884</v>
      </c>
      <c r="E19" s="49"/>
      <c r="F19" s="50" t="s">
        <v>776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/>
      <c r="B20" s="195"/>
      <c r="C20" s="40">
        <v>0.70833333333333337</v>
      </c>
      <c r="D20" s="48">
        <v>0.83333333333333337</v>
      </c>
      <c r="E20" s="49"/>
      <c r="F20" s="50" t="s">
        <v>873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193"/>
      <c r="B21" s="195"/>
      <c r="C21" s="40">
        <v>0.83333333333333337</v>
      </c>
      <c r="D21" s="48">
        <v>0.875</v>
      </c>
      <c r="E21" s="49" t="s">
        <v>87</v>
      </c>
      <c r="F21" s="50" t="s">
        <v>408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193"/>
      <c r="B22" s="195"/>
      <c r="C22" s="40">
        <v>0.83333333333333337</v>
      </c>
      <c r="D22" s="48">
        <v>0.875</v>
      </c>
      <c r="E22" s="49" t="s">
        <v>86</v>
      </c>
      <c r="F22" s="50" t="s">
        <v>328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s="10" customFormat="1" ht="20.100000000000001" hidden="1" customHeight="1" x14ac:dyDescent="0.3">
      <c r="A23" s="193" t="s">
        <v>0</v>
      </c>
      <c r="B23" s="195" t="s">
        <v>1</v>
      </c>
      <c r="C23" s="44" t="s">
        <v>824</v>
      </c>
      <c r="D23" s="45" t="s">
        <v>2</v>
      </c>
      <c r="E23" s="46" t="s">
        <v>3</v>
      </c>
      <c r="F23" s="47" t="s">
        <v>4</v>
      </c>
    </row>
    <row r="24" spans="1:24" ht="15" customHeight="1" x14ac:dyDescent="0.3">
      <c r="A24" s="193" t="str">
        <f t="shared" ref="A24" si="6">PROPER(TEXT(B24, "dddd"))</f>
        <v>Torsdag</v>
      </c>
      <c r="B24" s="195">
        <f t="shared" ref="B24" si="7">Torsdag4</f>
        <v>45680</v>
      </c>
      <c r="C24" s="40">
        <v>0.35416666666666669</v>
      </c>
      <c r="D24" s="48">
        <v>0.39583333333333331</v>
      </c>
      <c r="E24" s="49" t="s">
        <v>117</v>
      </c>
      <c r="F24" s="50" t="s">
        <v>453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/>
      <c r="B25" s="195"/>
      <c r="C25" s="40">
        <v>0.375</v>
      </c>
      <c r="D25" s="48">
        <v>0.4375</v>
      </c>
      <c r="E25" s="49" t="s">
        <v>71</v>
      </c>
      <c r="F25" s="50" t="s">
        <v>507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/>
      <c r="B26" s="195"/>
      <c r="C26" s="40">
        <v>0.41666666666666669</v>
      </c>
      <c r="D26" s="48">
        <v>0.5</v>
      </c>
      <c r="E26" s="49"/>
      <c r="F26" s="50" t="s">
        <v>238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193"/>
      <c r="B27" s="195"/>
      <c r="C27" s="40">
        <v>0.54166666666666663</v>
      </c>
      <c r="D27" s="48">
        <v>0.58333333333333337</v>
      </c>
      <c r="E27" s="49" t="s">
        <v>86</v>
      </c>
      <c r="F27" s="50" t="s">
        <v>529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193"/>
      <c r="B28" s="195"/>
      <c r="C28" s="40">
        <v>0.5625</v>
      </c>
      <c r="D28" s="48">
        <v>0.64583333333333337</v>
      </c>
      <c r="E28" s="49"/>
      <c r="F28" s="50" t="s">
        <v>218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193"/>
      <c r="B29" s="195"/>
      <c r="C29" s="40">
        <v>0.60416666666666663</v>
      </c>
      <c r="D29" s="48">
        <v>0.64583333333333337</v>
      </c>
      <c r="E29" s="49" t="s">
        <v>86</v>
      </c>
      <c r="F29" s="50" t="s">
        <v>529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193"/>
      <c r="B30" s="195"/>
      <c r="C30" s="40">
        <v>0.70833333333333337</v>
      </c>
      <c r="D30" s="48">
        <v>0.83333333333333337</v>
      </c>
      <c r="E30" s="49"/>
      <c r="F30" s="50" t="s">
        <v>873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193"/>
      <c r="B31" s="195"/>
      <c r="C31" s="40">
        <v>0.83333333333333337</v>
      </c>
      <c r="D31" s="48">
        <v>0.90625</v>
      </c>
      <c r="E31" s="49" t="s">
        <v>92</v>
      </c>
      <c r="F31" s="50" t="s">
        <v>731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s="10" customFormat="1" ht="20.100000000000001" hidden="1" customHeight="1" x14ac:dyDescent="0.3">
      <c r="A32" s="193" t="s">
        <v>0</v>
      </c>
      <c r="B32" s="195" t="s">
        <v>1</v>
      </c>
      <c r="C32" s="44" t="s">
        <v>824</v>
      </c>
      <c r="D32" s="45" t="s">
        <v>2</v>
      </c>
      <c r="E32" s="46" t="s">
        <v>3</v>
      </c>
      <c r="F32" s="47" t="s">
        <v>4</v>
      </c>
    </row>
    <row r="33" spans="1:24" ht="15" customHeight="1" x14ac:dyDescent="0.3">
      <c r="A33" s="193" t="str">
        <f t="shared" ref="A33" si="8">PROPER(TEXT(B33, "dddd"))</f>
        <v>Fredag</v>
      </c>
      <c r="B33" s="195">
        <f t="shared" ref="B33" si="9">Fredag4</f>
        <v>45681</v>
      </c>
      <c r="C33" s="40">
        <v>0.35416666666666669</v>
      </c>
      <c r="D33" s="48">
        <v>0.39583333333333331</v>
      </c>
      <c r="E33" s="49" t="s">
        <v>117</v>
      </c>
      <c r="F33" s="50" t="s">
        <v>453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customHeight="1" x14ac:dyDescent="0.3">
      <c r="A34" s="193"/>
      <c r="B34" s="195"/>
      <c r="C34" s="40">
        <v>0.375</v>
      </c>
      <c r="D34" s="48">
        <v>0.4375</v>
      </c>
      <c r="E34" s="49" t="s">
        <v>53</v>
      </c>
      <c r="F34" s="50" t="s">
        <v>507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customHeight="1" x14ac:dyDescent="0.3">
      <c r="A35" s="193"/>
      <c r="B35" s="195"/>
      <c r="C35" s="40">
        <v>0.41666666666666669</v>
      </c>
      <c r="D35" s="48">
        <v>0.5</v>
      </c>
      <c r="E35" s="49"/>
      <c r="F35" s="50" t="s">
        <v>629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customHeight="1" x14ac:dyDescent="0.3">
      <c r="A36" s="193"/>
      <c r="B36" s="195"/>
      <c r="C36" s="40">
        <v>0.45833333333333331</v>
      </c>
      <c r="D36" s="48">
        <v>0.54166666666666663</v>
      </c>
      <c r="E36" s="49"/>
      <c r="F36" s="50" t="s">
        <v>800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193"/>
      <c r="B37" s="195"/>
      <c r="C37" s="40">
        <v>0.70833333333333337</v>
      </c>
      <c r="D37" s="48">
        <v>0.83333333333333337</v>
      </c>
      <c r="E37" s="49"/>
      <c r="F37" s="50" t="s">
        <v>873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8" spans="1:24" s="10" customFormat="1" ht="20.100000000000001" hidden="1" customHeight="1" x14ac:dyDescent="0.3">
      <c r="A38" s="193" t="s">
        <v>0</v>
      </c>
      <c r="B38" s="195" t="s">
        <v>1</v>
      </c>
      <c r="C38" s="44" t="s">
        <v>824</v>
      </c>
      <c r="D38" s="45" t="s">
        <v>2</v>
      </c>
      <c r="E38" s="46" t="s">
        <v>3</v>
      </c>
      <c r="F38" s="47" t="s">
        <v>4</v>
      </c>
    </row>
    <row r="39" spans="1:24" ht="15" customHeight="1" x14ac:dyDescent="0.3">
      <c r="A39" s="193" t="str">
        <f>PROPER(TEXT(B39, "dddd"))</f>
        <v>Lördag</v>
      </c>
      <c r="B39" s="195">
        <f>Lördag4</f>
        <v>45682</v>
      </c>
      <c r="C39" s="40">
        <v>0.29166666666666669</v>
      </c>
      <c r="D39" s="48">
        <v>0.66666666666666663</v>
      </c>
      <c r="E39" s="49"/>
      <c r="F39" s="50" t="s">
        <v>476</v>
      </c>
      <c r="G39"/>
      <c r="H39" s="1"/>
      <c r="I39" s="1"/>
      <c r="L39"/>
      <c r="M39"/>
      <c r="N39"/>
      <c r="O39"/>
      <c r="P39"/>
      <c r="Q39"/>
      <c r="R39"/>
      <c r="S39"/>
      <c r="T39"/>
      <c r="V39"/>
      <c r="W39"/>
      <c r="X39"/>
    </row>
    <row r="40" spans="1:24" s="10" customFormat="1" ht="20.100000000000001" hidden="1" customHeight="1" x14ac:dyDescent="0.3">
      <c r="A40" s="193" t="s">
        <v>0</v>
      </c>
      <c r="B40" s="195" t="s">
        <v>1</v>
      </c>
      <c r="C40" s="44" t="s">
        <v>824</v>
      </c>
      <c r="D40" s="45" t="s">
        <v>2</v>
      </c>
      <c r="E40" s="46" t="s">
        <v>3</v>
      </c>
      <c r="F40" s="47" t="s">
        <v>4</v>
      </c>
    </row>
    <row r="41" spans="1:24" ht="15" customHeight="1" x14ac:dyDescent="0.3">
      <c r="A41" s="193" t="str">
        <f>PROPER(TEXT(B41, "dddd"))</f>
        <v>Söndag</v>
      </c>
      <c r="B41" s="195">
        <f>Söndag4</f>
        <v>45683</v>
      </c>
      <c r="C41" s="40">
        <v>0.375</v>
      </c>
      <c r="D41" s="48">
        <v>0.79166666666666663</v>
      </c>
      <c r="E41" s="49"/>
      <c r="F41" s="50" t="s">
        <v>873</v>
      </c>
      <c r="G41"/>
      <c r="H41" s="1"/>
      <c r="I41" s="1"/>
      <c r="L41"/>
      <c r="M41"/>
      <c r="N41"/>
      <c r="O41"/>
      <c r="P41"/>
      <c r="Q41"/>
      <c r="R41"/>
      <c r="S41"/>
      <c r="T41"/>
      <c r="V41"/>
      <c r="W41"/>
      <c r="X41"/>
    </row>
    <row r="42" spans="1:24" ht="15" customHeight="1" x14ac:dyDescent="0.3">
      <c r="A42" s="193"/>
      <c r="B42" s="195"/>
      <c r="C42" s="40">
        <v>0.79166666666666663</v>
      </c>
      <c r="D42" s="48">
        <v>0.83333333333333337</v>
      </c>
      <c r="E42" s="49" t="s">
        <v>75</v>
      </c>
      <c r="F42" s="50" t="s">
        <v>618</v>
      </c>
      <c r="G42"/>
      <c r="H42" s="1"/>
      <c r="I42" s="1"/>
      <c r="L42"/>
      <c r="M42"/>
      <c r="N42"/>
      <c r="O42"/>
      <c r="P42"/>
      <c r="Q42"/>
      <c r="R42"/>
      <c r="S42"/>
      <c r="T42"/>
      <c r="V42"/>
      <c r="W42"/>
      <c r="X42"/>
    </row>
    <row r="44" spans="1:24" ht="15" customHeight="1" x14ac:dyDescent="0.3">
      <c r="C44" s="40"/>
      <c r="D44" s="41"/>
    </row>
    <row r="45" spans="1:24" ht="15" customHeight="1" x14ac:dyDescent="0.3">
      <c r="C45" s="40"/>
      <c r="D45" s="8"/>
    </row>
    <row r="46" spans="1:24" ht="15" customHeight="1" x14ac:dyDescent="0.3">
      <c r="C46" s="40"/>
      <c r="D46" s="8"/>
    </row>
  </sheetData>
  <sheetProtection algorithmName="SHA-512" hashValue="Z0ONdtQXhxImoMkhB58YNco0NSUbOgMCTzAf3ePHJFFk1zzfVWiI9JVnlrxJG6eEBM6NPuUMWVEbWby3718KoQ==" saltValue="+bTRl4grCgTzJ9iWGq8Ktw==" spinCount="100000" sheet="1" objects="1" scenarios="1" autoFilter="0" pivotTables="0"/>
  <sortState xmlns:xlrd2="http://schemas.microsoft.com/office/spreadsheetml/2017/richdata2" ref="A33:F37">
    <sortCondition ref="C33:C37"/>
  </sortState>
  <conditionalFormatting sqref="A3:A6 A12:A13 A15:A19 A21:A22 A24:A28 A30:A31 A33:A36 A39 A41 A10">
    <cfRule type="expression" dxfId="1117" priority="4">
      <formula>OR(IF($A2="Dag",1))</formula>
    </cfRule>
  </conditionalFormatting>
  <conditionalFormatting sqref="A3:A6 A15:A22 A24:A31 A8:B13 A32:B42">
    <cfRule type="cellIs" dxfId="1116" priority="1" operator="equal">
      <formula>"Datum"</formula>
    </cfRule>
    <cfRule type="cellIs" dxfId="1115" priority="2" operator="equal">
      <formula>"Dag"</formula>
    </cfRule>
  </conditionalFormatting>
  <conditionalFormatting sqref="A40">
    <cfRule type="expression" dxfId="1114" priority="14">
      <formula>OR(IF(#REF!="Dag",1))</formula>
    </cfRule>
  </conditionalFormatting>
  <conditionalFormatting sqref="A29">
    <cfRule type="expression" dxfId="1113" priority="88">
      <formula>OR(IF($A25="Dag",1))</formula>
    </cfRule>
  </conditionalFormatting>
  <conditionalFormatting sqref="A20">
    <cfRule type="expression" dxfId="1112" priority="105">
      <formula>OR(IF($A15="Dag",1))</formula>
    </cfRule>
  </conditionalFormatting>
  <conditionalFormatting sqref="A42">
    <cfRule type="expression" dxfId="1111" priority="456">
      <formula>OR(IF(#REF!="Dag",1))</formula>
    </cfRule>
  </conditionalFormatting>
  <conditionalFormatting sqref="A1:B2 B3:B6 A7:B7 A14:B14 B15:B22 A23:B23 B24:B31 A43:B1048576">
    <cfRule type="cellIs" dxfId="1110" priority="6" operator="equal">
      <formula>"Datum"</formula>
    </cfRule>
    <cfRule type="cellIs" dxfId="1109" priority="7" operator="equal">
      <formula>"Dag"</formula>
    </cfRule>
  </conditionalFormatting>
  <conditionalFormatting sqref="B3:B6 B10 B12:B13 B15:B19 B21:B22 B24:B28 B30:B31 B33:B36 B39 B41">
    <cfRule type="expression" dxfId="1108" priority="13">
      <formula>OR(IF($B2="Datum",1))</formula>
    </cfRule>
  </conditionalFormatting>
  <conditionalFormatting sqref="B29">
    <cfRule type="expression" dxfId="1107" priority="97">
      <formula>OR(IF($B25="Datum",1))</formula>
    </cfRule>
  </conditionalFormatting>
  <conditionalFormatting sqref="B20">
    <cfRule type="expression" dxfId="1106" priority="114">
      <formula>OR(IF($B15="Datum",1))</formula>
    </cfRule>
  </conditionalFormatting>
  <conditionalFormatting sqref="B42">
    <cfRule type="expression" dxfId="1105" priority="469">
      <formula>OR(IF(#REF!="Datum",1))</formula>
    </cfRule>
  </conditionalFormatting>
  <conditionalFormatting sqref="C3:E42">
    <cfRule type="expression" dxfId="1104" priority="10">
      <formula>OR(IF($E3="Hela hallen",1))</formula>
    </cfRule>
  </conditionalFormatting>
  <conditionalFormatting sqref="L1:T1048576">
    <cfRule type="cellIs" dxfId="1103" priority="5" operator="equal">
      <formula>"-"</formula>
    </cfRule>
  </conditionalFormatting>
  <conditionalFormatting sqref="C3:F42">
    <cfRule type="expression" dxfId="1094" priority="2687">
      <formula>OR(IF(#REF!=TRUE,1))</formula>
    </cfRule>
  </conditionalFormatting>
  <conditionalFormatting sqref="A7:A9 A14 A23 A32 A38">
    <cfRule type="expression" dxfId="1093" priority="2688">
      <formula>OR(IF(#REF!="Dag",1))</formula>
    </cfRule>
  </conditionalFormatting>
  <conditionalFormatting sqref="B7:B9 B14 B23 B32 B38 B40">
    <cfRule type="expression" dxfId="1092" priority="2690">
      <formula>OR(IF(#REF!="Datum",1))</formula>
    </cfRule>
  </conditionalFormatting>
  <conditionalFormatting sqref="A11 A37">
    <cfRule type="expression" dxfId="1090" priority="2707">
      <formula>OR(IF($A8="Dag",1))</formula>
    </cfRule>
  </conditionalFormatting>
  <conditionalFormatting sqref="B11 B37">
    <cfRule type="expression" dxfId="1089" priority="2715">
      <formula>OR(IF($B8="Datum",1))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E273060-20EE-426C-B1BA-75DCD85B8062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A15:A19 A24:A28 A39 A41 A3:B6 A10:B10 A12:B13 A21:B22 A30:B31 A33:B36</xm:sqref>
        </x14:conditionalFormatting>
        <x14:conditionalFormatting xmlns:xm="http://schemas.microsoft.com/office/excel/2006/main">
          <x14:cfRule type="expression" priority="87" id="{FE273060-20EE-426C-B1BA-75DCD85B8062}">
            <xm:f>AND(IF(ISERROR(MATCH($B29,Kalenderår!$A$3:$A$17,0)),FALSE,TRUE), IF($B25="Datum",TRUE,FALSE), IF($A25="Dag",TRUE,FALSE))</xm:f>
            <x14:dxf>
              <font>
                <color rgb="FFC00000"/>
              </font>
            </x14:dxf>
          </x14:cfRule>
          <xm:sqref>A29</xm:sqref>
        </x14:conditionalFormatting>
        <x14:conditionalFormatting xmlns:xm="http://schemas.microsoft.com/office/excel/2006/main">
          <x14:cfRule type="expression" priority="104" id="{FE273060-20EE-426C-B1BA-75DCD85B8062}">
            <xm:f>AND(IF(ISERROR(MATCH($B20,Kalenderår!$A$3:$A$17,0)),FALSE,TRUE), IF($B15="Datum",TRUE,FALSE), IF($A15="Dag",TRUE,FALSE))</xm:f>
            <x14:dxf>
              <font>
                <color rgb="FFC00000"/>
              </font>
            </x14:dxf>
          </x14:cfRule>
          <xm:sqref>A20</xm:sqref>
        </x14:conditionalFormatting>
        <x14:conditionalFormatting xmlns:xm="http://schemas.microsoft.com/office/excel/2006/main">
          <x14:cfRule type="expression" priority="455" id="{FE273060-20EE-426C-B1BA-75DCD85B8062}">
            <xm:f>AND(IF(ISERROR(MATCH($B42,Kalenderår!$A$3:$A$17,0)),FALSE,TRUE),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A42</xm:sqref>
        </x14:conditionalFormatting>
        <x14:conditionalFormatting xmlns:xm="http://schemas.microsoft.com/office/excel/2006/main">
          <x14:cfRule type="expression" priority="9" id="{510A4251-7BC3-4BEB-BE86-882758258261}">
            <xm:f>AND(IF(ISERROR(MATCH($B15,Kalenderår!$A$3:$A$17,0)),FALSE,TRUE), IF($B14="Datum",TRUE,FALSE), IF($A14="Dag",TRUE,FALSE))</xm:f>
            <x14:dxf>
              <font>
                <color rgb="FFC00000"/>
              </font>
            </x14:dxf>
          </x14:cfRule>
          <xm:sqref>B15:B19 B24:B28 B39 B41</xm:sqref>
        </x14:conditionalFormatting>
        <x14:conditionalFormatting xmlns:xm="http://schemas.microsoft.com/office/excel/2006/main">
          <x14:cfRule type="expression" priority="94" id="{510A4251-7BC3-4BEB-BE86-882758258261}">
            <xm:f>AND(IF(ISERROR(MATCH($B29,Kalenderår!$A$3:$A$17,0)),FALSE,TRUE), IF($B25="Datum",TRUE,FALSE), IF($A25="Dag",TRUE,FALSE))</xm:f>
            <x14:dxf>
              <font>
                <color rgb="FFC00000"/>
              </font>
            </x14:dxf>
          </x14:cfRule>
          <xm:sqref>B29</xm:sqref>
        </x14:conditionalFormatting>
        <x14:conditionalFormatting xmlns:xm="http://schemas.microsoft.com/office/excel/2006/main">
          <x14:cfRule type="expression" priority="111" id="{510A4251-7BC3-4BEB-BE86-882758258261}">
            <xm:f>AND(IF(ISERROR(MATCH($B20,Kalenderår!$A$3:$A$17,0)),FALSE,TRUE), IF($B15="Datum",TRUE,FALSE), IF($A15="Dag",TRUE,FALSE))</xm:f>
            <x14:dxf>
              <font>
                <color rgb="FFC00000"/>
              </font>
            </x14:dxf>
          </x14:cfRule>
          <xm:sqref>B20</xm:sqref>
        </x14:conditionalFormatting>
        <x14:conditionalFormatting xmlns:xm="http://schemas.microsoft.com/office/excel/2006/main">
          <x14:cfRule type="expression" priority="467" id="{510A4251-7BC3-4BEB-BE86-882758258261}">
            <xm:f>AND(IF(ISERROR(MATCH($B42,Kalenderår!$A$3:$A$17,0)),FALSE,TRUE), IF(#REF!="Datum",TRUE,FALSE), IF(#REF!="Dag",TRUE,FALSE))</xm:f>
            <x14:dxf>
              <font>
                <color rgb="FFC00000"/>
              </font>
            </x14:dxf>
          </x14:cfRule>
          <xm:sqref>B42</xm:sqref>
        </x14:conditionalFormatting>
        <x14:conditionalFormatting xmlns:xm="http://schemas.microsoft.com/office/excel/2006/main">
          <x14:cfRule type="expression" priority="2699" id="{510A4251-7BC3-4BEB-BE86-882758258261}">
            <xm:f>AND(IF(ISERROR(MATCH($B7,Kalenderår!$A$3:$A$17,0)),FALSE,TRUE), IF(#REF!="Datum",TRUE,FALSE), IF(#REF!="Dag",TRUE,FALSE))</xm:f>
            <x14:dxf>
              <font>
                <color rgb="FFC00000"/>
              </font>
            </x14:dxf>
          </x14:cfRule>
          <xm:sqref>A7:B9 A14:B14 A23:B23 A32:B32 A38:B38 A40:B40</xm:sqref>
        </x14:conditionalFormatting>
        <x14:conditionalFormatting xmlns:xm="http://schemas.microsoft.com/office/excel/2006/main">
          <x14:cfRule type="expression" priority="2726" id="{FE273060-20EE-426C-B1BA-75DCD85B8062}">
            <xm:f>AND(IF(ISERROR(MATCH($B11,Kalenderår!$A$3:$A$17,0)),FALSE,TRUE), IF($B8="Datum",TRUE,FALSE), IF($A8="Dag",TRUE,FALSE))</xm:f>
            <x14:dxf>
              <font>
                <color rgb="FFC00000"/>
              </font>
            </x14:dxf>
          </x14:cfRule>
          <xm:sqref>A11:B11 A37:B37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30CCF3F-84C8-4D7E-982D-3FED38FCD133}">
          <x14:formula1>
            <xm:f>Listor!$A$2:$A$150</xm:f>
          </x14:formula1>
          <xm:sqref>E3:E6 E15:E22 E24:E31 E39 E41:E42 E8:E13 E33:E37</xm:sqref>
        </x14:dataValidation>
        <x14:dataValidation type="list" allowBlank="1" showInputMessage="1" showErrorMessage="1" xr:uid="{10B2E580-C9CA-4CDB-BFB6-A8A30C8EA3C1}">
          <x14:formula1>
            <xm:f>Kontaktuppgifter!$A$2:$A$300</xm:f>
          </x14:formula1>
          <xm:sqref>F3:F6 F15:F22 F24:F31 F39 F41:F42 F8:F13 F33:F37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2591-CFD1-402B-997F-CCBA4D86DA24}">
  <sheetPr codeName="Blad6">
    <pageSetUpPr fitToPage="1"/>
  </sheetPr>
  <dimension ref="A1:Y51"/>
  <sheetViews>
    <sheetView showGridLines="0" zoomScaleNormal="100" workbookViewId="0">
      <pane ySplit="2" topLeftCell="A13" activePane="bottomLeft" state="frozen"/>
      <selection activeCell="C19" sqref="C19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103.10937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Måndag5</f>
        <v>45684</v>
      </c>
      <c r="W1" s="33">
        <f>Söndag5</f>
        <v>45690</v>
      </c>
      <c r="X1" s="34">
        <f>WEEKNUM(Söndag5, 2)</f>
        <v>5</v>
      </c>
      <c r="Y1" s="35" t="str">
        <f>"V. "&amp;X1&amp;", "&amp;TEXT(V1,"D MMM")&amp;"-"&amp;TEXT(W1,"D MMM")</f>
        <v>V. 5, 27 jan-2 feb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Måndag5</f>
        <v>45684</v>
      </c>
      <c r="C3" s="40">
        <v>0.52083333333333337</v>
      </c>
      <c r="D3" s="41">
        <v>0.59375</v>
      </c>
      <c r="E3" s="42">
        <v>45</v>
      </c>
      <c r="F3" s="43" t="s">
        <v>815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193"/>
      <c r="B4" s="194"/>
      <c r="C4" s="40">
        <v>0.625</v>
      </c>
      <c r="D4" s="41">
        <v>0.66666666666666663</v>
      </c>
      <c r="E4" s="42"/>
      <c r="F4" s="43" t="s">
        <v>582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193"/>
      <c r="B5" s="194"/>
      <c r="C5" s="40">
        <v>0.70833333333333337</v>
      </c>
      <c r="D5" s="41">
        <v>0.83333333333333337</v>
      </c>
      <c r="E5" s="42"/>
      <c r="F5" s="43" t="s">
        <v>873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4"/>
      <c r="C6" s="40">
        <v>0.83333333333333337</v>
      </c>
      <c r="D6" s="41">
        <v>0.875</v>
      </c>
      <c r="E6" s="42" t="s">
        <v>78</v>
      </c>
      <c r="F6" s="43" t="s">
        <v>280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/>
      <c r="B7" s="194"/>
      <c r="C7" s="40">
        <v>0.83333333333333337</v>
      </c>
      <c r="D7" s="41">
        <v>0.875</v>
      </c>
      <c r="E7" s="42" t="s">
        <v>72</v>
      </c>
      <c r="F7" s="43" t="s">
        <v>361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193" t="s">
        <v>0</v>
      </c>
      <c r="B8" s="195" t="s">
        <v>1</v>
      </c>
      <c r="C8" s="44" t="s">
        <v>824</v>
      </c>
      <c r="D8" s="45" t="s">
        <v>2</v>
      </c>
      <c r="E8" s="46" t="s">
        <v>3</v>
      </c>
      <c r="F8" s="47" t="s">
        <v>4</v>
      </c>
    </row>
    <row r="9" spans="1:25" ht="15" customHeight="1" x14ac:dyDescent="0.3">
      <c r="A9" s="193" t="str">
        <f t="shared" ref="A9" si="2">PROPER(TEXT(B9, "dddd"))</f>
        <v>Tisdag</v>
      </c>
      <c r="B9" s="195">
        <f t="shared" ref="B9" si="3">Tisdag5</f>
        <v>45685</v>
      </c>
      <c r="C9" s="40">
        <v>0.33333333333333331</v>
      </c>
      <c r="D9" s="48">
        <v>0.39583333333333331</v>
      </c>
      <c r="E9" s="49"/>
      <c r="F9" s="50" t="s">
        <v>508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0.35416666666666669</v>
      </c>
      <c r="D10" s="48">
        <v>0.39583333333333331</v>
      </c>
      <c r="E10" s="49" t="s">
        <v>117</v>
      </c>
      <c r="F10" s="50" t="s">
        <v>453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0.375</v>
      </c>
      <c r="D11" s="48">
        <v>0.44791666666666669</v>
      </c>
      <c r="E11" s="49" t="s">
        <v>83</v>
      </c>
      <c r="F11" s="50" t="s">
        <v>507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0.52083333333333337</v>
      </c>
      <c r="D12" s="48">
        <v>0.5625</v>
      </c>
      <c r="E12" s="49" t="s">
        <v>86</v>
      </c>
      <c r="F12" s="50" t="s">
        <v>529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0.5625</v>
      </c>
      <c r="D13" s="48">
        <v>0.64583333333333337</v>
      </c>
      <c r="E13" s="49"/>
      <c r="F13" s="50" t="s">
        <v>587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/>
      <c r="B14" s="195"/>
      <c r="C14" s="40">
        <v>0.70833333333333337</v>
      </c>
      <c r="D14" s="48">
        <v>0.83333333333333337</v>
      </c>
      <c r="E14" s="49"/>
      <c r="F14" s="50" t="s">
        <v>873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193"/>
      <c r="B15" s="195"/>
      <c r="C15" s="40">
        <v>0.83333333333333337</v>
      </c>
      <c r="D15" s="48">
        <v>0.875</v>
      </c>
      <c r="E15" s="49" t="s">
        <v>78</v>
      </c>
      <c r="F15" s="50" t="s">
        <v>605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s="10" customFormat="1" ht="20.100000000000001" hidden="1" customHeight="1" x14ac:dyDescent="0.3">
      <c r="A16" s="193" t="s">
        <v>0</v>
      </c>
      <c r="B16" s="195" t="s">
        <v>1</v>
      </c>
      <c r="C16" s="44" t="s">
        <v>824</v>
      </c>
      <c r="D16" s="45" t="s">
        <v>2</v>
      </c>
      <c r="E16" s="46" t="s">
        <v>3</v>
      </c>
      <c r="F16" s="47" t="s">
        <v>4</v>
      </c>
    </row>
    <row r="17" spans="1:24" ht="15" customHeight="1" x14ac:dyDescent="0.3">
      <c r="A17" s="193" t="str">
        <f t="shared" ref="A17" si="4">PROPER(TEXT(B17, "dddd"))</f>
        <v>Onsdag</v>
      </c>
      <c r="B17" s="195">
        <f t="shared" ref="B17" si="5">Onsdag5</f>
        <v>45686</v>
      </c>
      <c r="C17" s="40">
        <v>0.35416666666666669</v>
      </c>
      <c r="D17" s="48">
        <v>0.39583333333333331</v>
      </c>
      <c r="E17" s="49" t="s">
        <v>117</v>
      </c>
      <c r="F17" s="50" t="s">
        <v>453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/>
      <c r="B18" s="195"/>
      <c r="C18" s="40">
        <v>0.375</v>
      </c>
      <c r="D18" s="48">
        <v>0.45833333333333331</v>
      </c>
      <c r="E18" s="49"/>
      <c r="F18" s="50" t="s">
        <v>737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/>
      <c r="B19" s="195"/>
      <c r="C19" s="40">
        <v>0.41666666666666669</v>
      </c>
      <c r="D19" s="48">
        <v>0.5</v>
      </c>
      <c r="E19" s="49"/>
      <c r="F19" s="50" t="s">
        <v>643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/>
      <c r="B20" s="195"/>
      <c r="C20" s="40">
        <v>0.55555555555555558</v>
      </c>
      <c r="D20" s="48">
        <v>0.63888888888888884</v>
      </c>
      <c r="E20" s="49"/>
      <c r="F20" s="50" t="s">
        <v>28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193"/>
      <c r="B21" s="195"/>
      <c r="C21" s="40">
        <v>0.55555555555555558</v>
      </c>
      <c r="D21" s="48">
        <v>0.63888888888888884</v>
      </c>
      <c r="E21" s="49"/>
      <c r="F21" s="50" t="s">
        <v>776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193"/>
      <c r="B22" s="195"/>
      <c r="C22" s="40">
        <v>0.70833333333333337</v>
      </c>
      <c r="D22" s="48">
        <v>0.83333333333333337</v>
      </c>
      <c r="E22" s="49"/>
      <c r="F22" s="50" t="s">
        <v>873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193"/>
      <c r="B23" s="195"/>
      <c r="C23" s="40">
        <v>0.73958333333333337</v>
      </c>
      <c r="D23" s="48">
        <v>0.8125</v>
      </c>
      <c r="E23" s="49"/>
      <c r="F23" s="50" t="s">
        <v>830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193"/>
      <c r="B24" s="195"/>
      <c r="C24" s="40">
        <v>0.83333333333333337</v>
      </c>
      <c r="D24" s="48">
        <v>0.875</v>
      </c>
      <c r="E24" s="49" t="s">
        <v>87</v>
      </c>
      <c r="F24" s="50" t="s">
        <v>408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/>
      <c r="B25" s="195"/>
      <c r="C25" s="40">
        <v>0.83333333333333337</v>
      </c>
      <c r="D25" s="48">
        <v>0.875</v>
      </c>
      <c r="E25" s="49" t="s">
        <v>86</v>
      </c>
      <c r="F25" s="50" t="s">
        <v>328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s="10" customFormat="1" ht="20.100000000000001" hidden="1" customHeight="1" x14ac:dyDescent="0.3">
      <c r="A26" s="193" t="s">
        <v>0</v>
      </c>
      <c r="B26" s="195" t="s">
        <v>1</v>
      </c>
      <c r="C26" s="44" t="s">
        <v>824</v>
      </c>
      <c r="D26" s="45" t="s">
        <v>2</v>
      </c>
      <c r="E26" s="46" t="s">
        <v>3</v>
      </c>
      <c r="F26" s="47" t="s">
        <v>4</v>
      </c>
    </row>
    <row r="27" spans="1:24" ht="15" customHeight="1" x14ac:dyDescent="0.3">
      <c r="A27" s="193" t="str">
        <f t="shared" ref="A27" si="6">PROPER(TEXT(B27, "dddd"))</f>
        <v>Torsdag</v>
      </c>
      <c r="B27" s="195">
        <f t="shared" ref="B27" si="7">Torsdag5</f>
        <v>45687</v>
      </c>
      <c r="C27" s="40">
        <v>0.375</v>
      </c>
      <c r="D27" s="48">
        <v>0.4375</v>
      </c>
      <c r="E27" s="49" t="s">
        <v>71</v>
      </c>
      <c r="F27" s="50" t="s">
        <v>507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193"/>
      <c r="B28" s="195"/>
      <c r="C28" s="40">
        <v>0.41666666666666669</v>
      </c>
      <c r="D28" s="48">
        <v>0.5</v>
      </c>
      <c r="E28" s="49"/>
      <c r="F28" s="50" t="s">
        <v>238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193"/>
      <c r="B29" s="195"/>
      <c r="C29" s="40">
        <v>0.5625</v>
      </c>
      <c r="D29" s="48">
        <v>0.64583333333333337</v>
      </c>
      <c r="E29" s="49"/>
      <c r="F29" s="50" t="s">
        <v>218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193"/>
      <c r="B30" s="195"/>
      <c r="C30" s="40">
        <v>0.70833333333333337</v>
      </c>
      <c r="D30" s="48">
        <v>0.83333333333333337</v>
      </c>
      <c r="E30" s="49"/>
      <c r="F30" s="50" t="s">
        <v>873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193"/>
      <c r="B31" s="195"/>
      <c r="C31" s="40">
        <v>0.83333333333333337</v>
      </c>
      <c r="D31" s="48">
        <v>0.90625</v>
      </c>
      <c r="E31" s="49" t="s">
        <v>92</v>
      </c>
      <c r="F31" s="50" t="s">
        <v>731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s="10" customFormat="1" ht="20.100000000000001" hidden="1" customHeight="1" x14ac:dyDescent="0.3">
      <c r="A32" s="193" t="s">
        <v>0</v>
      </c>
      <c r="B32" s="195" t="s">
        <v>1</v>
      </c>
      <c r="C32" s="44" t="s">
        <v>824</v>
      </c>
      <c r="D32" s="45" t="s">
        <v>2</v>
      </c>
      <c r="E32" s="46" t="s">
        <v>3</v>
      </c>
      <c r="F32" s="47" t="s">
        <v>4</v>
      </c>
    </row>
    <row r="33" spans="1:24" ht="15" customHeight="1" x14ac:dyDescent="0.3">
      <c r="A33" s="193" t="str">
        <f t="shared" ref="A33" si="8">PROPER(TEXT(B33, "dddd"))</f>
        <v>Fredag</v>
      </c>
      <c r="B33" s="195">
        <f t="shared" ref="B33" si="9">Fredag5</f>
        <v>45688</v>
      </c>
      <c r="C33" s="40">
        <v>0.35416666666666669</v>
      </c>
      <c r="D33" s="48">
        <v>0.39583333333333331</v>
      </c>
      <c r="E33" s="49" t="s">
        <v>117</v>
      </c>
      <c r="F33" s="50" t="s">
        <v>453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customHeight="1" x14ac:dyDescent="0.3">
      <c r="A34" s="193"/>
      <c r="B34" s="195"/>
      <c r="C34" s="40">
        <v>0.375</v>
      </c>
      <c r="D34" s="48">
        <v>0.4375</v>
      </c>
      <c r="E34" s="49" t="s">
        <v>53</v>
      </c>
      <c r="F34" s="50" t="s">
        <v>507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customHeight="1" x14ac:dyDescent="0.3">
      <c r="A35" s="193"/>
      <c r="B35" s="195"/>
      <c r="C35" s="40">
        <v>0.41666666666666669</v>
      </c>
      <c r="D35" s="48">
        <v>0.5</v>
      </c>
      <c r="E35" s="49"/>
      <c r="F35" s="50" t="s">
        <v>629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customHeight="1" x14ac:dyDescent="0.3">
      <c r="A36" s="193"/>
      <c r="B36" s="195"/>
      <c r="C36" s="40">
        <v>0.45833333333333331</v>
      </c>
      <c r="D36" s="48">
        <v>0.54166666666666663</v>
      </c>
      <c r="E36" s="49"/>
      <c r="F36" s="50" t="s">
        <v>800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193"/>
      <c r="B37" s="195"/>
      <c r="C37" s="40">
        <v>0.47916666666666669</v>
      </c>
      <c r="D37" s="48">
        <v>0.54166666666666663</v>
      </c>
      <c r="E37" s="49">
        <v>3</v>
      </c>
      <c r="F37" s="50" t="s">
        <v>556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8" spans="1:24" ht="15" customHeight="1" x14ac:dyDescent="0.3">
      <c r="A38" s="193"/>
      <c r="B38" s="195"/>
      <c r="C38" s="40">
        <v>0.61458333333333337</v>
      </c>
      <c r="D38" s="48">
        <v>0.65625</v>
      </c>
      <c r="E38" s="49"/>
      <c r="F38" s="50" t="s">
        <v>582</v>
      </c>
      <c r="G38"/>
      <c r="H38" s="1"/>
      <c r="I38" s="1"/>
      <c r="L38"/>
      <c r="M38"/>
      <c r="N38"/>
      <c r="O38"/>
      <c r="P38"/>
      <c r="Q38"/>
      <c r="R38"/>
      <c r="S38"/>
      <c r="T38"/>
      <c r="V38"/>
      <c r="W38"/>
      <c r="X38"/>
    </row>
    <row r="39" spans="1:24" ht="15" customHeight="1" x14ac:dyDescent="0.3">
      <c r="A39" s="193"/>
      <c r="B39" s="195"/>
      <c r="C39" s="40">
        <v>0.70833333333333337</v>
      </c>
      <c r="D39" s="48">
        <v>0.83333333333333337</v>
      </c>
      <c r="E39" s="49"/>
      <c r="F39" s="50" t="s">
        <v>873</v>
      </c>
      <c r="G39"/>
      <c r="H39" s="1"/>
      <c r="I39" s="1"/>
      <c r="L39"/>
      <c r="M39"/>
      <c r="N39"/>
      <c r="O39"/>
      <c r="P39"/>
      <c r="Q39"/>
      <c r="R39"/>
      <c r="S39"/>
      <c r="T39"/>
      <c r="V39"/>
      <c r="W39"/>
      <c r="X39"/>
    </row>
    <row r="40" spans="1:24" s="10" customFormat="1" ht="20.100000000000001" hidden="1" customHeight="1" x14ac:dyDescent="0.3">
      <c r="A40" s="193" t="s">
        <v>0</v>
      </c>
      <c r="B40" s="195" t="s">
        <v>1</v>
      </c>
      <c r="C40" s="44" t="s">
        <v>824</v>
      </c>
      <c r="D40" s="45" t="s">
        <v>2</v>
      </c>
      <c r="E40" s="46" t="s">
        <v>3</v>
      </c>
      <c r="F40" s="47" t="s">
        <v>4</v>
      </c>
    </row>
    <row r="41" spans="1:24" ht="15" customHeight="1" x14ac:dyDescent="0.3">
      <c r="A41" s="193" t="str">
        <f>PROPER(TEXT(B41, "dddd"))</f>
        <v>Lördag</v>
      </c>
      <c r="B41" s="195">
        <f>Lördag5</f>
        <v>45689</v>
      </c>
      <c r="C41" s="40">
        <v>0.375</v>
      </c>
      <c r="D41" s="48">
        <v>0.625</v>
      </c>
      <c r="E41" s="49"/>
      <c r="F41" s="50" t="s">
        <v>873</v>
      </c>
      <c r="G41"/>
      <c r="H41" s="1"/>
      <c r="I41" s="1"/>
      <c r="L41"/>
      <c r="M41"/>
      <c r="N41"/>
      <c r="O41"/>
      <c r="P41"/>
      <c r="Q41"/>
      <c r="R41"/>
      <c r="S41"/>
      <c r="T41"/>
      <c r="V41"/>
      <c r="W41"/>
      <c r="X41"/>
    </row>
    <row r="42" spans="1:24" ht="15" customHeight="1" x14ac:dyDescent="0.3">
      <c r="A42" s="193"/>
      <c r="B42" s="195"/>
      <c r="C42" s="40">
        <v>0.58333333333333337</v>
      </c>
      <c r="D42" s="48">
        <v>0.625</v>
      </c>
      <c r="E42" s="49" t="s">
        <v>88</v>
      </c>
      <c r="F42" s="50" t="s">
        <v>727</v>
      </c>
      <c r="G42"/>
      <c r="H42" s="1"/>
      <c r="I42" s="1"/>
      <c r="L42"/>
      <c r="M42"/>
      <c r="N42"/>
      <c r="O42"/>
      <c r="P42"/>
      <c r="Q42"/>
      <c r="R42"/>
      <c r="S42"/>
      <c r="T42"/>
      <c r="V42"/>
      <c r="W42"/>
      <c r="X42"/>
    </row>
    <row r="43" spans="1:24" ht="15" customHeight="1" x14ac:dyDescent="0.3">
      <c r="A43" s="193"/>
      <c r="B43" s="195"/>
      <c r="C43" s="40">
        <v>0.625</v>
      </c>
      <c r="D43" s="48">
        <v>0.66666666666666663</v>
      </c>
      <c r="E43" s="49"/>
      <c r="F43" s="50" t="s">
        <v>561</v>
      </c>
      <c r="G43"/>
      <c r="H43" s="1"/>
      <c r="I43" s="1"/>
      <c r="L43"/>
      <c r="M43"/>
      <c r="N43"/>
      <c r="O43"/>
      <c r="P43"/>
      <c r="Q43"/>
      <c r="R43"/>
      <c r="S43"/>
      <c r="T43"/>
      <c r="V43"/>
      <c r="W43"/>
      <c r="X43"/>
    </row>
    <row r="44" spans="1:24" ht="15" customHeight="1" x14ac:dyDescent="0.3">
      <c r="A44" s="193"/>
      <c r="B44" s="195"/>
      <c r="C44" s="40">
        <v>0.67708333333333337</v>
      </c>
      <c r="D44" s="48">
        <v>0.77083333333333337</v>
      </c>
      <c r="E44" s="49"/>
      <c r="F44" s="50" t="s">
        <v>189</v>
      </c>
      <c r="G44"/>
      <c r="H44" s="1"/>
      <c r="I44" s="1"/>
      <c r="L44"/>
      <c r="M44"/>
      <c r="N44"/>
      <c r="O44"/>
      <c r="P44"/>
      <c r="Q44"/>
      <c r="R44"/>
      <c r="S44"/>
      <c r="T44"/>
      <c r="V44"/>
      <c r="W44"/>
      <c r="X44"/>
    </row>
    <row r="45" spans="1:24" s="10" customFormat="1" ht="20.100000000000001" hidden="1" customHeight="1" x14ac:dyDescent="0.3">
      <c r="A45" s="193" t="s">
        <v>0</v>
      </c>
      <c r="B45" s="195" t="s">
        <v>1</v>
      </c>
      <c r="C45" s="44" t="s">
        <v>824</v>
      </c>
      <c r="D45" s="45" t="s">
        <v>2</v>
      </c>
      <c r="E45" s="46" t="s">
        <v>3</v>
      </c>
      <c r="F45" s="47" t="s">
        <v>4</v>
      </c>
    </row>
    <row r="46" spans="1:24" ht="15" customHeight="1" x14ac:dyDescent="0.3">
      <c r="A46" s="193" t="str">
        <f>PROPER(TEXT(B46, "dddd"))</f>
        <v>Söndag</v>
      </c>
      <c r="B46" s="195">
        <f>Söndag5</f>
        <v>45690</v>
      </c>
      <c r="C46" s="40">
        <v>0.375</v>
      </c>
      <c r="D46" s="48">
        <v>0.79166666666666663</v>
      </c>
      <c r="E46" s="49"/>
      <c r="F46" s="50" t="s">
        <v>873</v>
      </c>
      <c r="G46"/>
      <c r="H46" s="1"/>
      <c r="I46" s="1"/>
      <c r="L46"/>
      <c r="M46"/>
      <c r="N46"/>
      <c r="O46"/>
      <c r="P46"/>
      <c r="Q46"/>
      <c r="R46"/>
      <c r="S46"/>
      <c r="T46"/>
      <c r="V46"/>
      <c r="W46"/>
      <c r="X46"/>
    </row>
    <row r="47" spans="1:24" ht="15" customHeight="1" x14ac:dyDescent="0.3">
      <c r="A47" s="193"/>
      <c r="B47" s="195"/>
      <c r="C47" s="40">
        <v>0.79166666666666663</v>
      </c>
      <c r="D47" s="48">
        <v>0.83333333333333337</v>
      </c>
      <c r="E47" s="49" t="s">
        <v>75</v>
      </c>
      <c r="F47" s="50" t="s">
        <v>618</v>
      </c>
      <c r="G47"/>
      <c r="H47" s="1"/>
      <c r="I47" s="1"/>
      <c r="L47"/>
      <c r="M47"/>
      <c r="N47"/>
      <c r="O47"/>
      <c r="P47"/>
      <c r="Q47"/>
      <c r="R47"/>
      <c r="S47"/>
      <c r="T47"/>
      <c r="V47"/>
      <c r="W47"/>
      <c r="X47"/>
    </row>
    <row r="49" spans="3:4" ht="15" customHeight="1" x14ac:dyDescent="0.3">
      <c r="C49" s="40"/>
      <c r="D49" s="41"/>
    </row>
    <row r="50" spans="3:4" ht="15" customHeight="1" x14ac:dyDescent="0.3">
      <c r="C50" s="40"/>
      <c r="D50" s="8"/>
    </row>
    <row r="51" spans="3:4" ht="15" customHeight="1" x14ac:dyDescent="0.3">
      <c r="C51" s="40"/>
      <c r="D51" s="8"/>
    </row>
  </sheetData>
  <sheetProtection algorithmName="SHA-512" hashValue="5t5Ww2gt8/jj24D54w4gb914QBx95N28kzpvRodIPQIoOBcQoEIcNuhCWFL8LsBCf6C8xLvEPtnPeUdqc4/aAQ==" saltValue="KLct9d0xtTRvjcfMlX212Q==" spinCount="100000" sheet="1" objects="1" scenarios="1" autoFilter="0" pivotTables="0"/>
  <sortState xmlns:xlrd2="http://schemas.microsoft.com/office/spreadsheetml/2017/richdata2" ref="A33:F39">
    <sortCondition ref="C33:C39"/>
  </sortState>
  <conditionalFormatting sqref="A22:A24 A3:A7 A9:A13 A17:A19 A28:A31 A33:A38 A41:A43 A46">
    <cfRule type="expression" dxfId="1087" priority="12">
      <formula>OR(IF($A2="Dag",1))</formula>
    </cfRule>
  </conditionalFormatting>
  <conditionalFormatting sqref="A14">
    <cfRule type="expression" dxfId="1086" priority="116">
      <formula>OR(IF($A10="Dag",1))</formula>
    </cfRule>
  </conditionalFormatting>
  <conditionalFormatting sqref="A25 A39">
    <cfRule type="expression" dxfId="1085" priority="135">
      <formula>OR(IF($A23="Dag",1))</formula>
    </cfRule>
  </conditionalFormatting>
  <conditionalFormatting sqref="A21">
    <cfRule type="expression" dxfId="1084" priority="127">
      <formula>OR(IF($A18="Dag",1))</formula>
    </cfRule>
  </conditionalFormatting>
  <conditionalFormatting sqref="A44 A47">
    <cfRule type="expression" dxfId="1083" priority="471">
      <formula>OR(IF(#REF!="Dag",1))</formula>
    </cfRule>
  </conditionalFormatting>
  <conditionalFormatting sqref="A1:B1048576">
    <cfRule type="cellIs" dxfId="1082" priority="4" operator="equal">
      <formula>"Datum"</formula>
    </cfRule>
    <cfRule type="cellIs" dxfId="1081" priority="5" operator="equal">
      <formula>"Dag"</formula>
    </cfRule>
  </conditionalFormatting>
  <conditionalFormatting sqref="B22:B24 B3:B7 B9:B13 B17:B19 B28:B31 B33:B38 B41:B43 B46">
    <cfRule type="expression" dxfId="1080" priority="11">
      <formula>OR(IF($B2="Datum",1))</formula>
    </cfRule>
  </conditionalFormatting>
  <conditionalFormatting sqref="B14">
    <cfRule type="expression" dxfId="1079" priority="125">
      <formula>OR(IF($B10="Datum",1))</formula>
    </cfRule>
  </conditionalFormatting>
  <conditionalFormatting sqref="B25 B39">
    <cfRule type="expression" dxfId="1078" priority="139">
      <formula>OR(IF($B23="Datum",1))</formula>
    </cfRule>
  </conditionalFormatting>
  <conditionalFormatting sqref="B21">
    <cfRule type="expression" dxfId="1077" priority="133">
      <formula>OR(IF($B18="Datum",1))</formula>
    </cfRule>
  </conditionalFormatting>
  <conditionalFormatting sqref="B44 B47">
    <cfRule type="expression" dxfId="1076" priority="486">
      <formula>OR(IF(#REF!="Datum",1))</formula>
    </cfRule>
  </conditionalFormatting>
  <conditionalFormatting sqref="C3:E47">
    <cfRule type="expression" dxfId="1075" priority="8">
      <formula>OR(IF($E3="Hela hallen",1))</formula>
    </cfRule>
  </conditionalFormatting>
  <conditionalFormatting sqref="L1:T1048576">
    <cfRule type="cellIs" dxfId="1074" priority="3" operator="equal">
      <formula>"-"</formula>
    </cfRule>
  </conditionalFormatting>
  <conditionalFormatting sqref="A15">
    <cfRule type="expression" dxfId="1073" priority="545">
      <formula>OR(IF(#REF!="Dag",1))</formula>
    </cfRule>
  </conditionalFormatting>
  <conditionalFormatting sqref="B15">
    <cfRule type="expression" dxfId="1072" priority="553">
      <formula>OR(IF(#REF!="Datum",1))</formula>
    </cfRule>
  </conditionalFormatting>
  <conditionalFormatting sqref="C3:F47">
    <cfRule type="expression" dxfId="1064" priority="2728">
      <formula>OR(IF(#REF!=TRUE,1))</formula>
    </cfRule>
  </conditionalFormatting>
  <conditionalFormatting sqref="A8 A16 A20 A26:A27 A32 A40 A45">
    <cfRule type="expression" dxfId="1063" priority="2730">
      <formula>OR(IF(#REF!="Dag",1))</formula>
    </cfRule>
  </conditionalFormatting>
  <conditionalFormatting sqref="B8 B16 B20 B26:B27 B32 B40 B45">
    <cfRule type="expression" dxfId="1062" priority="2739">
      <formula>OR(IF(#REF!="Datum",1))</formula>
    </cfRule>
  </conditionalFormatting>
  <printOptions horizontalCentered="1" verticalCentered="1"/>
  <pageMargins left="0.25" right="0.25" top="0.75" bottom="0.75" header="0.3" footer="0.3"/>
  <pageSetup paperSize="9" scale="24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07353EC8-982A-4BC8-A6C8-0BAA1430C348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A3:B7 A9:B13 A17:B19 A28:B31 A33:B38 A41:B43 A46:B46</xm:sqref>
        </x14:conditionalFormatting>
        <x14:conditionalFormatting xmlns:xm="http://schemas.microsoft.com/office/excel/2006/main">
          <x14:cfRule type="expression" priority="2" id="{8DFD2591-311A-4982-9AA1-0432C0C38A42}">
            <xm:f>AND(IF(ISERROR(MATCH($B22,Kalenderår!$A$3:$A$17,0)),FALSE,TRUE), IF($B21="Datum",TRUE,FALSE), IF($A21="Dag",TRUE,FALSE))</xm:f>
            <x14:dxf>
              <font>
                <color rgb="FFC00000"/>
              </font>
            </x14:dxf>
          </x14:cfRule>
          <xm:sqref>A22:B24</xm:sqref>
        </x14:conditionalFormatting>
        <x14:conditionalFormatting xmlns:xm="http://schemas.microsoft.com/office/excel/2006/main">
          <x14:cfRule type="expression" priority="119" id="{8DFD2591-311A-4982-9AA1-0432C0C38A42}">
            <xm:f>AND(IF(ISERROR(MATCH($B14,Kalenderår!$A$3:$A$17,0)),FALSE,TRUE), IF($B10="Datum",TRUE,FALSE), IF($A10="Dag",TRUE,FALSE))</xm:f>
            <x14:dxf>
              <font>
                <color rgb="FFC00000"/>
              </font>
            </x14:dxf>
          </x14:cfRule>
          <xm:sqref>A14:B14</xm:sqref>
        </x14:conditionalFormatting>
        <x14:conditionalFormatting xmlns:xm="http://schemas.microsoft.com/office/excel/2006/main">
          <x14:cfRule type="expression" priority="137" id="{8DFD2591-311A-4982-9AA1-0432C0C38A42}">
            <xm:f>AND(IF(ISERROR(MATCH($B25,Kalenderår!$A$3:$A$17,0)),FALSE,TRUE), IF($B23="Datum",TRUE,FALSE), IF($A23="Dag",TRUE,FALSE))</xm:f>
            <x14:dxf>
              <font>
                <color rgb="FFC00000"/>
              </font>
            </x14:dxf>
          </x14:cfRule>
          <xm:sqref>A25:B25 A39:B39</xm:sqref>
        </x14:conditionalFormatting>
        <x14:conditionalFormatting xmlns:xm="http://schemas.microsoft.com/office/excel/2006/main">
          <x14:cfRule type="expression" priority="130" id="{8DFD2591-311A-4982-9AA1-0432C0C38A42}">
            <xm:f>AND(IF(ISERROR(MATCH($B21,Kalenderår!$A$3:$A$17,0)),FALSE,TRUE), IF($B18="Datum",TRUE,FALSE), IF($A18="Dag",TRUE,FALSE))</xm:f>
            <x14:dxf>
              <font>
                <color rgb="FFC00000"/>
              </font>
            </x14:dxf>
          </x14:cfRule>
          <xm:sqref>A21:B21</xm:sqref>
        </x14:conditionalFormatting>
        <x14:conditionalFormatting xmlns:xm="http://schemas.microsoft.com/office/excel/2006/main">
          <x14:cfRule type="expression" priority="474" id="{D1EE33CE-7C6B-4322-9303-8377F91B2D8A}">
            <xm:f>AND(IF(ISERROR(MATCH($B44,Kalenderår!$A$3:$A$17,0)),FALSE,TRUE),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A44:B44 A47:B47</xm:sqref>
        </x14:conditionalFormatting>
        <x14:conditionalFormatting xmlns:xm="http://schemas.microsoft.com/office/excel/2006/main">
          <x14:cfRule type="expression" priority="562" id="{8DFD2591-311A-4982-9AA1-0432C0C38A42}">
            <xm:f>AND(IF(ISERROR(MATCH($B15,Kalenderår!$A$3:$A$17,0)),FALSE,TRUE),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A15:B15</xm:sqref>
        </x14:conditionalFormatting>
        <x14:conditionalFormatting xmlns:xm="http://schemas.microsoft.com/office/excel/2006/main">
          <x14:cfRule type="expression" priority="2748" id="{8DFD2591-311A-4982-9AA1-0432C0C38A42}">
            <xm:f>AND(IF(ISERROR(MATCH($B8,Kalenderår!$A$3:$A$17,0)),FALSE,TRUE), IF(#REF!="Datum",TRUE,FALSE), IF(#REF!="Dag",TRUE,FALSE))</xm:f>
            <x14:dxf>
              <font>
                <color rgb="FFC00000"/>
              </font>
            </x14:dxf>
          </x14:cfRule>
          <xm:sqref>A8:B8 A16:B16 A20:B20 A26:B27 A32:B32 A40:B40 A45:B45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6D28822-80AE-47AC-89FB-56BE48190893}">
          <x14:formula1>
            <xm:f>Listor!$A$2:$A$150</xm:f>
          </x14:formula1>
          <xm:sqref>E3:E7 E46:E47 E41:E44 E9:E15 E33:E39 E17:E25 E27:E31</xm:sqref>
        </x14:dataValidation>
        <x14:dataValidation type="list" allowBlank="1" showInputMessage="1" showErrorMessage="1" xr:uid="{5F1952A2-80C0-4D48-BF21-72A2A18A6F22}">
          <x14:formula1>
            <xm:f>Kontaktuppgifter!$A$2:$A$300</xm:f>
          </x14:formula1>
          <xm:sqref>F3:F7 F46:F47 F41:F44 F9:F15 F33:F39 F17:F25 F27:F31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D23A2-E519-46F1-ADAA-46921D33257A}">
  <sheetPr codeName="Blad7">
    <pageSetUpPr fitToPage="1"/>
  </sheetPr>
  <dimension ref="A1:Y49"/>
  <sheetViews>
    <sheetView showGridLines="0" zoomScaleNormal="100" workbookViewId="0">
      <pane ySplit="2" topLeftCell="A3" activePane="bottomLeft" state="frozen"/>
      <selection activeCell="C19" sqref="C19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Måndag6</f>
        <v>45691</v>
      </c>
      <c r="W1" s="33">
        <f>Söndag6</f>
        <v>45697</v>
      </c>
      <c r="X1" s="34">
        <f>WEEKNUM(Söndag6, 2)</f>
        <v>6</v>
      </c>
      <c r="Y1" s="35" t="str">
        <f>"V. "&amp;X1&amp;", "&amp;TEXT(V1,"D MMM")&amp;"-"&amp;TEXT(W1,"D MMM")</f>
        <v>V. 6, 3 feb-9 feb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>PROPER(TEXT(B3, "dddd"))</f>
        <v>Måndag</v>
      </c>
      <c r="B3" s="194">
        <f>Måndag6</f>
        <v>45691</v>
      </c>
      <c r="C3" s="40">
        <v>0.625</v>
      </c>
      <c r="D3" s="41">
        <v>0.66666666666666663</v>
      </c>
      <c r="E3" s="42"/>
      <c r="F3" s="43" t="s">
        <v>582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193"/>
      <c r="B4" s="194"/>
      <c r="C4" s="40">
        <v>0.70833333333333337</v>
      </c>
      <c r="D4" s="41">
        <v>0.83333333333333337</v>
      </c>
      <c r="E4" s="42"/>
      <c r="F4" s="43" t="s">
        <v>873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193"/>
      <c r="B5" s="194"/>
      <c r="C5" s="40">
        <v>0.83333333333333337</v>
      </c>
      <c r="D5" s="41">
        <v>0.875</v>
      </c>
      <c r="E5" s="42" t="s">
        <v>78</v>
      </c>
      <c r="F5" s="43" t="s">
        <v>280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4"/>
      <c r="C6" s="40">
        <v>0.83333333333333337</v>
      </c>
      <c r="D6" s="41">
        <v>0.875</v>
      </c>
      <c r="E6" s="42" t="s">
        <v>73</v>
      </c>
      <c r="F6" s="43" t="s">
        <v>361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s="10" customFormat="1" ht="20.100000000000001" hidden="1" customHeight="1" x14ac:dyDescent="0.3">
      <c r="A7" s="193" t="s">
        <v>0</v>
      </c>
      <c r="B7" s="195" t="s">
        <v>1</v>
      </c>
      <c r="C7" s="44" t="s">
        <v>824</v>
      </c>
      <c r="D7" s="45" t="s">
        <v>2</v>
      </c>
      <c r="E7" s="46" t="s">
        <v>3</v>
      </c>
      <c r="F7" s="47" t="s">
        <v>4</v>
      </c>
    </row>
    <row r="8" spans="1:25" ht="15" customHeight="1" x14ac:dyDescent="0.3">
      <c r="A8" s="193" t="str">
        <f t="shared" ref="A8" si="0">PROPER(TEXT(B8, "dddd"))</f>
        <v>Tisdag</v>
      </c>
      <c r="B8" s="195">
        <f t="shared" ref="B8" si="1">Tisdag6</f>
        <v>45692</v>
      </c>
      <c r="C8" s="40">
        <v>0.33333333333333331</v>
      </c>
      <c r="D8" s="48">
        <v>0.39583333333333331</v>
      </c>
      <c r="E8" s="49"/>
      <c r="F8" s="50" t="s">
        <v>508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193"/>
      <c r="B9" s="195"/>
      <c r="C9" s="40">
        <v>0.375</v>
      </c>
      <c r="D9" s="48">
        <v>0.44791666666666669</v>
      </c>
      <c r="E9" s="49" t="s">
        <v>83</v>
      </c>
      <c r="F9" s="50" t="s">
        <v>507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0.5625</v>
      </c>
      <c r="D10" s="48">
        <v>0.64583333333333337</v>
      </c>
      <c r="E10" s="49"/>
      <c r="F10" s="50" t="s">
        <v>587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0.70833333333333337</v>
      </c>
      <c r="D11" s="48">
        <v>0.83333333333333337</v>
      </c>
      <c r="E11" s="49"/>
      <c r="F11" s="50" t="s">
        <v>873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0.83333333333333337</v>
      </c>
      <c r="D12" s="48">
        <v>0.875</v>
      </c>
      <c r="E12" s="49" t="s">
        <v>78</v>
      </c>
      <c r="F12" s="50" t="s">
        <v>605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s="10" customFormat="1" ht="20.100000000000001" hidden="1" customHeight="1" x14ac:dyDescent="0.3">
      <c r="A13" s="193" t="s">
        <v>0</v>
      </c>
      <c r="B13" s="195" t="s">
        <v>1</v>
      </c>
      <c r="C13" s="44" t="s">
        <v>824</v>
      </c>
      <c r="D13" s="45" t="s">
        <v>2</v>
      </c>
      <c r="E13" s="46" t="s">
        <v>3</v>
      </c>
      <c r="F13" s="47" t="s">
        <v>4</v>
      </c>
    </row>
    <row r="14" spans="1:25" ht="15" customHeight="1" x14ac:dyDescent="0.3">
      <c r="A14" s="193" t="str">
        <f t="shared" ref="A14" si="2">PROPER(TEXT(B14, "dddd"))</f>
        <v>Onsdag</v>
      </c>
      <c r="B14" s="195">
        <f t="shared" ref="B14" si="3">Onsdag6</f>
        <v>45693</v>
      </c>
      <c r="C14" s="40">
        <v>0.35416666666666669</v>
      </c>
      <c r="D14" s="48">
        <v>0.39583333333333331</v>
      </c>
      <c r="E14" s="49" t="s">
        <v>117</v>
      </c>
      <c r="F14" s="50" t="s">
        <v>453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193"/>
      <c r="B15" s="195"/>
      <c r="C15" s="40">
        <v>0.375</v>
      </c>
      <c r="D15" s="48">
        <v>0.45833333333333331</v>
      </c>
      <c r="E15" s="49"/>
      <c r="F15" s="50" t="s">
        <v>737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193"/>
      <c r="B16" s="195"/>
      <c r="C16" s="40">
        <v>0.41666666666666669</v>
      </c>
      <c r="D16" s="48">
        <v>0.5</v>
      </c>
      <c r="E16" s="49"/>
      <c r="F16" s="50" t="s">
        <v>643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0.55555555555555558</v>
      </c>
      <c r="D17" s="48">
        <v>0.63888888888888884</v>
      </c>
      <c r="E17" s="49"/>
      <c r="F17" s="50" t="s">
        <v>28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/>
      <c r="B18" s="195"/>
      <c r="C18" s="40">
        <v>0.55555555555555558</v>
      </c>
      <c r="D18" s="48">
        <v>0.63888888888888884</v>
      </c>
      <c r="E18" s="49"/>
      <c r="F18" s="50" t="s">
        <v>776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/>
      <c r="B19" s="195"/>
      <c r="C19" s="40">
        <v>0.70833333333333337</v>
      </c>
      <c r="D19" s="48">
        <v>0.83333333333333337</v>
      </c>
      <c r="E19" s="49"/>
      <c r="F19" s="50" t="s">
        <v>873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/>
      <c r="B20" s="195"/>
      <c r="C20" s="40">
        <v>0.83333333333333337</v>
      </c>
      <c r="D20" s="48">
        <v>0.875</v>
      </c>
      <c r="E20" s="49" t="s">
        <v>87</v>
      </c>
      <c r="F20" s="50" t="s">
        <v>408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193"/>
      <c r="B21" s="195"/>
      <c r="C21" s="40">
        <v>0.83333333333333337</v>
      </c>
      <c r="D21" s="48">
        <v>0.875</v>
      </c>
      <c r="E21" s="49" t="s">
        <v>86</v>
      </c>
      <c r="F21" s="50" t="s">
        <v>328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hidden="1" customHeight="1" x14ac:dyDescent="0.3">
      <c r="A22" s="193" t="s">
        <v>0</v>
      </c>
      <c r="B22" s="195" t="s">
        <v>1</v>
      </c>
      <c r="C22" s="44" t="s">
        <v>824</v>
      </c>
      <c r="D22" s="45" t="s">
        <v>2</v>
      </c>
      <c r="E22" s="46" t="s">
        <v>3</v>
      </c>
      <c r="F22" s="47" t="s">
        <v>4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193" t="str">
        <f t="shared" ref="A23" si="4">PROPER(TEXT(B23, "dddd"))</f>
        <v>Torsdag</v>
      </c>
      <c r="B23" s="195">
        <f t="shared" ref="B23" si="5">Torsdag6</f>
        <v>45694</v>
      </c>
      <c r="C23" s="40">
        <v>0.35416666666666669</v>
      </c>
      <c r="D23" s="48">
        <v>0.39583333333333331</v>
      </c>
      <c r="E23" s="49" t="s">
        <v>117</v>
      </c>
      <c r="F23" s="50" t="s">
        <v>453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193"/>
      <c r="B24" s="195"/>
      <c r="C24" s="40">
        <v>0.375</v>
      </c>
      <c r="D24" s="48">
        <v>0.4375</v>
      </c>
      <c r="E24" s="49" t="s">
        <v>71</v>
      </c>
      <c r="F24" s="50" t="s">
        <v>507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/>
      <c r="B25" s="195"/>
      <c r="C25" s="40">
        <v>0.41666666666666669</v>
      </c>
      <c r="D25" s="48">
        <v>0.5</v>
      </c>
      <c r="E25" s="49"/>
      <c r="F25" s="50" t="s">
        <v>238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/>
      <c r="B26" s="195"/>
      <c r="C26" s="40">
        <v>0.54166666666666663</v>
      </c>
      <c r="D26" s="48">
        <v>0.58333333333333337</v>
      </c>
      <c r="E26" s="49" t="s">
        <v>86</v>
      </c>
      <c r="F26" s="50" t="s">
        <v>529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193"/>
      <c r="B27" s="195"/>
      <c r="C27" s="40">
        <v>0.5625</v>
      </c>
      <c r="D27" s="48">
        <v>0.64583333333333337</v>
      </c>
      <c r="E27" s="49"/>
      <c r="F27" s="50" t="s">
        <v>218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193"/>
      <c r="B28" s="195"/>
      <c r="C28" s="40">
        <v>0.60416666666666663</v>
      </c>
      <c r="D28" s="48">
        <v>0.64583333333333337</v>
      </c>
      <c r="E28" s="49" t="s">
        <v>86</v>
      </c>
      <c r="F28" s="50" t="s">
        <v>529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193"/>
      <c r="B29" s="195"/>
      <c r="C29" s="40">
        <v>0.70833333333333337</v>
      </c>
      <c r="D29" s="48">
        <v>0.83333333333333337</v>
      </c>
      <c r="E29" s="49"/>
      <c r="F29" s="50" t="s">
        <v>873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s="10" customFormat="1" ht="15" customHeight="1" x14ac:dyDescent="0.3">
      <c r="A30" s="193"/>
      <c r="B30" s="195"/>
      <c r="C30" s="40">
        <v>0.83333333333333337</v>
      </c>
      <c r="D30" s="48">
        <v>0.90625</v>
      </c>
      <c r="E30" s="49" t="s">
        <v>92</v>
      </c>
      <c r="F30" s="50" t="s">
        <v>731</v>
      </c>
    </row>
    <row r="31" spans="1:24" ht="15" hidden="1" customHeight="1" x14ac:dyDescent="0.3">
      <c r="A31" s="193" t="s">
        <v>0</v>
      </c>
      <c r="B31" s="195" t="s">
        <v>1</v>
      </c>
      <c r="C31" s="44" t="s">
        <v>824</v>
      </c>
      <c r="D31" s="45" t="s">
        <v>2</v>
      </c>
      <c r="E31" s="46" t="s">
        <v>3</v>
      </c>
      <c r="F31" s="47" t="s">
        <v>4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193" t="str">
        <f t="shared" ref="A32" si="6">PROPER(TEXT(B32, "dddd"))</f>
        <v>Fredag</v>
      </c>
      <c r="B32" s="195">
        <f t="shared" ref="B32" si="7">Fredag6</f>
        <v>45695</v>
      </c>
      <c r="C32" s="40">
        <v>0.35416666666666669</v>
      </c>
      <c r="D32" s="48">
        <v>0.39583333333333331</v>
      </c>
      <c r="E32" s="49" t="s">
        <v>117</v>
      </c>
      <c r="F32" s="50" t="s">
        <v>453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193"/>
      <c r="B33" s="195"/>
      <c r="C33" s="40">
        <v>0.375</v>
      </c>
      <c r="D33" s="48">
        <v>0.4375</v>
      </c>
      <c r="E33" s="49" t="s">
        <v>53</v>
      </c>
      <c r="F33" s="50" t="s">
        <v>507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customHeight="1" x14ac:dyDescent="0.3">
      <c r="A34" s="193"/>
      <c r="B34" s="195"/>
      <c r="C34" s="40">
        <v>0.39583333333333331</v>
      </c>
      <c r="D34" s="48">
        <v>0.54166666666666663</v>
      </c>
      <c r="E34" s="49" t="s">
        <v>96</v>
      </c>
      <c r="F34" s="50" t="s">
        <v>664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customHeight="1" x14ac:dyDescent="0.3">
      <c r="A35" s="193"/>
      <c r="B35" s="195"/>
      <c r="C35" s="40">
        <v>0.41666666666666669</v>
      </c>
      <c r="D35" s="48">
        <v>0.5</v>
      </c>
      <c r="E35" s="49"/>
      <c r="F35" s="50" t="s">
        <v>629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customHeight="1" x14ac:dyDescent="0.3">
      <c r="A36" s="193"/>
      <c r="B36" s="195"/>
      <c r="C36" s="40">
        <v>0.45833333333333331</v>
      </c>
      <c r="D36" s="48">
        <v>0.54166666666666663</v>
      </c>
      <c r="E36" s="49"/>
      <c r="F36" s="50" t="s">
        <v>800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s="10" customFormat="1" ht="15" customHeight="1" x14ac:dyDescent="0.3">
      <c r="A37" s="193"/>
      <c r="B37" s="195"/>
      <c r="C37" s="40">
        <v>0.61458333333333337</v>
      </c>
      <c r="D37" s="48">
        <v>0.65625</v>
      </c>
      <c r="E37" s="49"/>
      <c r="F37" s="50" t="s">
        <v>582</v>
      </c>
    </row>
    <row r="38" spans="1:24" ht="15" customHeight="1" x14ac:dyDescent="0.3">
      <c r="A38" s="193"/>
      <c r="B38" s="195"/>
      <c r="C38" s="40">
        <v>0.70833333333333337</v>
      </c>
      <c r="D38" s="48">
        <v>0.83333333333333337</v>
      </c>
      <c r="E38" s="49"/>
      <c r="F38" s="50" t="s">
        <v>873</v>
      </c>
      <c r="G38"/>
      <c r="H38" s="1"/>
      <c r="I38" s="1"/>
      <c r="L38"/>
      <c r="M38"/>
      <c r="N38"/>
      <c r="O38"/>
      <c r="P38"/>
      <c r="Q38"/>
      <c r="R38"/>
      <c r="S38"/>
      <c r="T38"/>
      <c r="V38"/>
      <c r="W38"/>
      <c r="X38"/>
    </row>
    <row r="39" spans="1:24" ht="15" hidden="1" customHeight="1" x14ac:dyDescent="0.3">
      <c r="A39" s="193" t="s">
        <v>0</v>
      </c>
      <c r="B39" s="195" t="s">
        <v>1</v>
      </c>
      <c r="C39" s="44" t="s">
        <v>824</v>
      </c>
      <c r="D39" s="45" t="s">
        <v>2</v>
      </c>
      <c r="E39" s="46" t="s">
        <v>3</v>
      </c>
      <c r="F39" s="47" t="s">
        <v>4</v>
      </c>
      <c r="G39"/>
      <c r="H39" s="1"/>
      <c r="I39" s="1"/>
      <c r="L39"/>
      <c r="M39"/>
      <c r="N39"/>
      <c r="O39"/>
      <c r="P39"/>
      <c r="Q39"/>
      <c r="R39"/>
      <c r="S39"/>
      <c r="T39"/>
      <c r="V39"/>
      <c r="W39"/>
      <c r="X39"/>
    </row>
    <row r="40" spans="1:24" ht="15" customHeight="1" x14ac:dyDescent="0.3">
      <c r="A40" s="193" t="str">
        <f>PROPER(TEXT(B40, "dddd"))</f>
        <v>Lördag</v>
      </c>
      <c r="B40" s="195">
        <f>Lördag6</f>
        <v>45696</v>
      </c>
      <c r="C40" s="40">
        <v>0.375</v>
      </c>
      <c r="D40" s="48">
        <v>0.625</v>
      </c>
      <c r="E40" s="49"/>
      <c r="F40" s="50" t="s">
        <v>873</v>
      </c>
      <c r="G40"/>
      <c r="H40" s="1"/>
      <c r="I40" s="1"/>
      <c r="L40"/>
      <c r="M40"/>
      <c r="N40"/>
      <c r="O40"/>
      <c r="P40"/>
      <c r="Q40"/>
      <c r="R40"/>
      <c r="S40"/>
      <c r="T40"/>
      <c r="V40"/>
      <c r="W40"/>
      <c r="X40"/>
    </row>
    <row r="41" spans="1:24" s="10" customFormat="1" ht="15" customHeight="1" x14ac:dyDescent="0.3">
      <c r="A41" s="193"/>
      <c r="B41" s="195"/>
      <c r="C41" s="40">
        <v>0.58333333333333337</v>
      </c>
      <c r="D41" s="48">
        <v>0.625</v>
      </c>
      <c r="E41" s="49" t="s">
        <v>88</v>
      </c>
      <c r="F41" s="50" t="s">
        <v>727</v>
      </c>
    </row>
    <row r="42" spans="1:24" ht="15" customHeight="1" x14ac:dyDescent="0.3">
      <c r="A42" s="193"/>
      <c r="B42" s="195"/>
      <c r="C42" s="40">
        <v>0.625</v>
      </c>
      <c r="D42" s="48">
        <v>0.66666666666666663</v>
      </c>
      <c r="E42" s="49"/>
      <c r="F42" s="50" t="s">
        <v>561</v>
      </c>
      <c r="G42"/>
      <c r="H42" s="1"/>
      <c r="I42" s="1"/>
      <c r="L42"/>
      <c r="M42"/>
      <c r="N42"/>
      <c r="O42"/>
      <c r="P42"/>
      <c r="Q42"/>
      <c r="R42"/>
      <c r="S42"/>
      <c r="T42"/>
      <c r="V42"/>
      <c r="W42"/>
      <c r="X42"/>
    </row>
    <row r="43" spans="1:24" ht="15" customHeight="1" x14ac:dyDescent="0.3">
      <c r="A43" s="193"/>
      <c r="B43" s="195"/>
      <c r="C43" s="40">
        <v>0.67708333333333337</v>
      </c>
      <c r="D43" s="48">
        <v>0.80208333333333337</v>
      </c>
      <c r="E43" s="49"/>
      <c r="F43" s="50" t="s">
        <v>157</v>
      </c>
      <c r="G43"/>
      <c r="H43" s="1"/>
      <c r="I43" s="1"/>
      <c r="L43"/>
      <c r="M43"/>
      <c r="N43"/>
      <c r="O43"/>
      <c r="P43"/>
      <c r="Q43"/>
      <c r="R43"/>
      <c r="S43"/>
      <c r="T43"/>
      <c r="V43"/>
      <c r="W43"/>
      <c r="X43"/>
    </row>
    <row r="44" spans="1:24" ht="15" hidden="1" customHeight="1" x14ac:dyDescent="0.3">
      <c r="A44" s="193" t="s">
        <v>0</v>
      </c>
      <c r="B44" s="195" t="s">
        <v>1</v>
      </c>
      <c r="C44" s="44" t="s">
        <v>824</v>
      </c>
      <c r="D44" s="45" t="s">
        <v>2</v>
      </c>
      <c r="E44" s="46" t="s">
        <v>3</v>
      </c>
      <c r="F44" s="47" t="s">
        <v>4</v>
      </c>
      <c r="G44"/>
      <c r="H44" s="1"/>
      <c r="I44" s="1"/>
      <c r="L44"/>
      <c r="M44"/>
      <c r="N44"/>
      <c r="O44"/>
      <c r="P44"/>
      <c r="Q44"/>
      <c r="R44"/>
      <c r="S44"/>
      <c r="T44"/>
      <c r="V44"/>
      <c r="W44"/>
      <c r="X44"/>
    </row>
    <row r="45" spans="1:24" ht="15" customHeight="1" x14ac:dyDescent="0.3">
      <c r="A45" s="193" t="str">
        <f>PROPER(TEXT(B45, "dddd"))</f>
        <v>Söndag</v>
      </c>
      <c r="B45" s="195">
        <f>Söndag6</f>
        <v>45697</v>
      </c>
      <c r="C45" s="40">
        <v>0.375</v>
      </c>
      <c r="D45" s="48">
        <v>0.79166666666666663</v>
      </c>
      <c r="E45" s="49"/>
      <c r="F45" s="50" t="s">
        <v>873</v>
      </c>
      <c r="G45"/>
      <c r="H45" s="1"/>
      <c r="I45" s="1"/>
      <c r="L45"/>
      <c r="M45"/>
      <c r="N45"/>
      <c r="O45"/>
      <c r="P45"/>
      <c r="Q45"/>
      <c r="R45"/>
      <c r="S45"/>
      <c r="T45"/>
      <c r="V45"/>
      <c r="W45"/>
      <c r="X45"/>
    </row>
    <row r="47" spans="1:24" ht="15" customHeight="1" x14ac:dyDescent="0.3">
      <c r="C47" s="40"/>
      <c r="D47" s="41"/>
    </row>
    <row r="48" spans="1:24" ht="15" customHeight="1" x14ac:dyDescent="0.3">
      <c r="C48" s="40"/>
      <c r="D48" s="8"/>
    </row>
    <row r="49" spans="3:4" ht="15" customHeight="1" x14ac:dyDescent="0.3">
      <c r="C49" s="40"/>
      <c r="D49" s="8"/>
    </row>
  </sheetData>
  <sheetProtection algorithmName="SHA-512" hashValue="P6EppIrDfNrJ6xSsJwSM4svPNeIXoZ4OBL0/VsXGFp4VxRK06I+UuCeyrhm/vC4ytX8sgrXH+aI7jXkADjc0yQ==" saltValue="+xtzscCIWq8Hf+aFFVID6Q==" spinCount="100000" sheet="1" objects="1" scenarios="1" autoFilter="0" pivotTables="0"/>
  <sortState xmlns:xlrd2="http://schemas.microsoft.com/office/spreadsheetml/2017/richdata2" ref="A32:F38">
    <sortCondition ref="C32:C38"/>
  </sortState>
  <conditionalFormatting sqref="A14:A18 A45 A29 A20 A3:A5 A8 A10 A22:A27 A31:A36 A39:A42">
    <cfRule type="expression" dxfId="1060" priority="4">
      <formula>OR(IF($A2="Dag",1))</formula>
    </cfRule>
  </conditionalFormatting>
  <conditionalFormatting sqref="A45:B45 A3:B6 A14:B21 A23:B30 A40:B43 A32:B38 A8:B12">
    <cfRule type="cellIs" dxfId="1059" priority="1" operator="equal">
      <formula>"Datum"</formula>
    </cfRule>
    <cfRule type="cellIs" dxfId="1058" priority="2" operator="equal">
      <formula>"Dag"</formula>
    </cfRule>
  </conditionalFormatting>
  <conditionalFormatting sqref="A13">
    <cfRule type="expression" dxfId="1057" priority="22">
      <formula>OR(IF(#REF!="Dag",1))</formula>
    </cfRule>
  </conditionalFormatting>
  <conditionalFormatting sqref="A11 A9">
    <cfRule type="expression" dxfId="1056" priority="147">
      <formula>OR(IF(#REF!="Dag",1))</formula>
    </cfRule>
  </conditionalFormatting>
  <conditionalFormatting sqref="A19 A28 A37">
    <cfRule type="expression" dxfId="1055" priority="164">
      <formula>OR(IF($A15="Dag",1))</formula>
    </cfRule>
  </conditionalFormatting>
  <conditionalFormatting sqref="A1:B2 A7:B7 A13:B13 A22:B22 A31:B31 A39:B39 A44:B44 A46:B1048576">
    <cfRule type="cellIs" dxfId="1054" priority="14" operator="equal">
      <formula>"Datum"</formula>
    </cfRule>
    <cfRule type="cellIs" dxfId="1053" priority="15" operator="equal">
      <formula>"Dag"</formula>
    </cfRule>
  </conditionalFormatting>
  <conditionalFormatting sqref="B29 B20 B3:B5 B45 B8 B10 B14:B18 B22:B27 B31:B36 B39:B42">
    <cfRule type="expression" dxfId="1052" priority="21">
      <formula>OR(IF($B2="Datum",1))</formula>
    </cfRule>
  </conditionalFormatting>
  <conditionalFormatting sqref="B11 B9 B13">
    <cfRule type="expression" dxfId="1051" priority="156">
      <formula>OR(IF(#REF!="Datum",1))</formula>
    </cfRule>
  </conditionalFormatting>
  <conditionalFormatting sqref="B19 B28 B37">
    <cfRule type="expression" dxfId="1050" priority="173">
      <formula>OR(IF($B15="Datum",1))</formula>
    </cfRule>
  </conditionalFormatting>
  <conditionalFormatting sqref="C3:E45">
    <cfRule type="expression" dxfId="1049" priority="18">
      <formula>OR(IF($E3="Hela hallen",1))</formula>
    </cfRule>
  </conditionalFormatting>
  <conditionalFormatting sqref="L1:T1048576">
    <cfRule type="cellIs" dxfId="1048" priority="13" operator="equal">
      <formula>"-"</formula>
    </cfRule>
  </conditionalFormatting>
  <conditionalFormatting sqref="A12 A6 A21 A30 A43 A38">
    <cfRule type="expression" dxfId="1047" priority="656">
      <formula>OR(IF(#REF!="Dag",1))</formula>
    </cfRule>
  </conditionalFormatting>
  <conditionalFormatting sqref="B12 B6 B21 B30 B43 B38">
    <cfRule type="expression" dxfId="1046" priority="666">
      <formula>OR(IF(#REF!="Datum",1))</formula>
    </cfRule>
  </conditionalFormatting>
  <conditionalFormatting sqref="A44">
    <cfRule type="expression" dxfId="1045" priority="785">
      <formula>OR(IF($A43="Dag",1))</formula>
    </cfRule>
  </conditionalFormatting>
  <conditionalFormatting sqref="B44">
    <cfRule type="expression" dxfId="1044" priority="786">
      <formula>OR(IF($B43="Datum",1))</formula>
    </cfRule>
  </conditionalFormatting>
  <conditionalFormatting sqref="C3:F45">
    <cfRule type="expression" dxfId="1038" priority="2750">
      <formula>OR(IF(#REF!=TRUE,1))</formula>
    </cfRule>
  </conditionalFormatting>
  <conditionalFormatting sqref="A7">
    <cfRule type="expression" dxfId="1037" priority="2751">
      <formula>OR(IF(#REF!="Dag",1))</formula>
    </cfRule>
  </conditionalFormatting>
  <conditionalFormatting sqref="B7">
    <cfRule type="expression" dxfId="1036" priority="2752">
      <formula>OR(IF(#REF!="Datum",1))</formula>
    </cfRule>
  </conditionalFormatting>
  <printOptions horizontalCentered="1" verticalCentered="1"/>
  <pageMargins left="0.25" right="0.25" top="0.75" bottom="0.75" header="0.3" footer="0.3"/>
  <pageSetup paperSize="8" scale="26" orientation="portrait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8210058-0E23-476A-BB05-FA1089EB3E97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A14:A18 A23:A27 A32:A36 A29:B29 A20:B20 A3:B5 A8:B8 A10:B10 A22:B22 A31:B31 A39:B42 A44:B45</xm:sqref>
        </x14:conditionalFormatting>
        <x14:conditionalFormatting xmlns:xm="http://schemas.microsoft.com/office/excel/2006/main">
          <x14:cfRule type="expression" priority="163" id="{A8210058-0E23-476A-BB05-FA1089EB3E97}">
            <xm:f>AND(IF(ISERROR(MATCH($B19,Kalenderår!$A$3:$A$17,0)),FALSE,TRUE), IF($B15="Datum",TRUE,FALSE), IF($A15="Dag",TRUE,FALSE))</xm:f>
            <x14:dxf>
              <font>
                <color rgb="FFC00000"/>
              </font>
            </x14:dxf>
          </x14:cfRule>
          <xm:sqref>A19 A28 A37</xm:sqref>
        </x14:conditionalFormatting>
        <x14:conditionalFormatting xmlns:xm="http://schemas.microsoft.com/office/excel/2006/main">
          <x14:cfRule type="expression" priority="17" id="{C56D60CE-C0B8-4EC9-8CC8-BEB400EF7C9E}">
            <xm:f>AND(IF(ISERROR(MATCH($B14,Kalenderår!$A$3:$A$17,0)),FALSE,TRUE), IF($B13="Datum",TRUE,FALSE), IF($A13="Dag",TRUE,FALSE))</xm:f>
            <x14:dxf>
              <font>
                <color rgb="FFC00000"/>
              </font>
            </x14:dxf>
          </x14:cfRule>
          <xm:sqref>B14:B18 B23:B27 B32:B36</xm:sqref>
        </x14:conditionalFormatting>
        <x14:conditionalFormatting xmlns:xm="http://schemas.microsoft.com/office/excel/2006/main">
          <x14:cfRule type="expression" priority="170" id="{C56D60CE-C0B8-4EC9-8CC8-BEB400EF7C9E}">
            <xm:f>AND(IF(ISERROR(MATCH($B19,Kalenderår!$A$3:$A$17,0)),FALSE,TRUE), IF($B15="Datum",TRUE,FALSE), IF($A15="Dag",TRUE,FALSE))</xm:f>
            <x14:dxf>
              <font>
                <color rgb="FFC00000"/>
              </font>
            </x14:dxf>
          </x14:cfRule>
          <xm:sqref>B19 B28 B37</xm:sqref>
        </x14:conditionalFormatting>
        <x14:conditionalFormatting xmlns:xm="http://schemas.microsoft.com/office/excel/2006/main">
          <x14:cfRule type="expression" priority="675" id="{A8210058-0E23-476A-BB05-FA1089EB3E97}">
            <xm:f>AND(IF(ISERROR(MATCH($B6,Kalenderår!$A$3:$A$17,0)),FALSE,TRUE), IF(#REF!="Datum",TRUE,FALSE), IF(#REF!="Dag",TRUE,FALSE))</xm:f>
            <x14:dxf>
              <font>
                <color rgb="FFC00000"/>
              </font>
            </x14:dxf>
          </x14:cfRule>
          <xm:sqref>A12:B12 A6:B6 A21:B21 A30:B30 A38:B38 A43:B43</xm:sqref>
        </x14:conditionalFormatting>
        <x14:conditionalFormatting xmlns:xm="http://schemas.microsoft.com/office/excel/2006/main">
          <x14:cfRule type="expression" priority="2759" id="{C56D60CE-C0B8-4EC9-8CC8-BEB400EF7C9E}">
            <xm:f>AND(IF(ISERROR(MATCH($B7,Kalenderår!$A$3:$A$17,0)),FALSE,TRUE), IF(#REF!="Datum",TRUE,FALSE), IF(#REF!="Dag",TRUE,FALSE))</xm:f>
            <x14:dxf>
              <font>
                <color rgb="FFC00000"/>
              </font>
            </x14:dxf>
          </x14:cfRule>
          <xm:sqref>A7:B7 A9:B9 A11:B11 A13:B13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911E0F-EB7D-421D-A5B6-7508644B18E6}">
          <x14:formula1>
            <xm:f>Listor!$A$2:$A$150</xm:f>
          </x14:formula1>
          <xm:sqref>E45 E3:E6 E14:E21 E23:E30 E40:E43 E32:E38 E8:E12</xm:sqref>
        </x14:dataValidation>
        <x14:dataValidation type="list" allowBlank="1" showInputMessage="1" showErrorMessage="1" xr:uid="{05950390-F61A-4367-9F56-8EAA1E5EA0A1}">
          <x14:formula1>
            <xm:f>Kontaktuppgifter!$A$2:$A$300</xm:f>
          </x14:formula1>
          <xm:sqref>F45 F3:F6 F14:F21 F23:F30 F40:F43 F32:F38 F8:F12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04CA9-3B2E-4585-BC84-F7A553D18ADB}">
  <sheetPr codeName="Blad8">
    <pageSetUpPr fitToPage="1"/>
  </sheetPr>
  <dimension ref="A1:Y49"/>
  <sheetViews>
    <sheetView showGridLines="0" zoomScaleNormal="100" workbookViewId="0">
      <pane ySplit="2" topLeftCell="A3" activePane="bottomLeft" state="frozen"/>
      <selection activeCell="C19" sqref="C19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5546875" style="31" bestFit="1" customWidth="1"/>
    <col min="4" max="4" width="6.44140625" bestFit="1" customWidth="1"/>
    <col min="5" max="5" width="12" style="1" bestFit="1" customWidth="1"/>
    <col min="6" max="6" width="38" style="8" bestFit="1" customWidth="1"/>
    <col min="7" max="7" width="67.5546875" style="8" customWidth="1"/>
    <col min="8" max="8" width="12.44140625" style="32" bestFit="1" customWidth="1"/>
    <col min="9" max="9" width="16.109375" style="8" bestFit="1" customWidth="1"/>
    <col min="10" max="10" width="20.44140625" style="1" bestFit="1" customWidth="1"/>
    <col min="11" max="11" width="14.33203125" bestFit="1" customWidth="1"/>
    <col min="12" max="12" width="21" style="8" bestFit="1" customWidth="1"/>
    <col min="13" max="13" width="21.44140625" style="3" bestFit="1" customWidth="1"/>
    <col min="14" max="14" width="34.33203125" style="8" bestFit="1" customWidth="1"/>
    <col min="15" max="15" width="60.44140625" style="8" bestFit="1" customWidth="1"/>
    <col min="16" max="16" width="34.33203125" style="8" bestFit="1" customWidth="1"/>
    <col min="17" max="17" width="15.5546875" style="8" bestFit="1" customWidth="1"/>
    <col min="18" max="18" width="24.88671875" style="8" bestFit="1" customWidth="1"/>
    <col min="19" max="19" width="10.6640625" style="8" bestFit="1" customWidth="1"/>
    <col min="20" max="20" width="14" style="8" bestFit="1" customWidth="1"/>
    <col min="22" max="23" width="6.109375" style="1" bestFit="1" customWidth="1"/>
    <col min="24" max="24" width="4.109375" style="1" bestFit="1" customWidth="1"/>
    <col min="25" max="25" width="16.33203125" bestFit="1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Måndag7</f>
        <v>45698</v>
      </c>
      <c r="W1" s="33">
        <f>Söndag7</f>
        <v>45704</v>
      </c>
      <c r="X1" s="34">
        <f>WEEKNUM(Söndag7, 2)</f>
        <v>7</v>
      </c>
      <c r="Y1" s="35" t="str">
        <f>"V. "&amp;X1&amp;", "&amp;TEXT(V1,"D MMM")&amp;"-"&amp;TEXT(W1,"D MMM")</f>
        <v>V. 7, 10 feb-16 feb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>PROPER(TEXT(B3, "dddd"))</f>
        <v>Måndag</v>
      </c>
      <c r="B3" s="194">
        <f>Måndag7</f>
        <v>45698</v>
      </c>
      <c r="C3" s="40">
        <v>0.625</v>
      </c>
      <c r="D3" s="41">
        <v>0.66666666666666663</v>
      </c>
      <c r="E3" s="42"/>
      <c r="F3" s="43" t="s">
        <v>582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193"/>
      <c r="B4" s="194"/>
      <c r="C4" s="40">
        <v>0.70833333333333337</v>
      </c>
      <c r="D4" s="41">
        <v>0.83333333333333337</v>
      </c>
      <c r="E4" s="42"/>
      <c r="F4" s="43" t="s">
        <v>873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193"/>
      <c r="B5" s="194"/>
      <c r="C5" s="40">
        <v>0.83333333333333337</v>
      </c>
      <c r="D5" s="41">
        <v>0.875</v>
      </c>
      <c r="E5" s="42" t="s">
        <v>78</v>
      </c>
      <c r="F5" s="43" t="s">
        <v>280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4"/>
      <c r="C6" s="40">
        <v>0.83333333333333337</v>
      </c>
      <c r="D6" s="41">
        <v>0.875</v>
      </c>
      <c r="E6" s="42" t="s">
        <v>71</v>
      </c>
      <c r="F6" s="43" t="s">
        <v>361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s="10" customFormat="1" ht="20.100000000000001" hidden="1" customHeight="1" x14ac:dyDescent="0.3">
      <c r="A7" s="193" t="s">
        <v>0</v>
      </c>
      <c r="B7" s="195" t="s">
        <v>1</v>
      </c>
      <c r="C7" s="44" t="s">
        <v>824</v>
      </c>
      <c r="D7" s="45" t="s">
        <v>2</v>
      </c>
      <c r="E7" s="46" t="s">
        <v>3</v>
      </c>
      <c r="F7" s="47" t="s">
        <v>4</v>
      </c>
    </row>
    <row r="8" spans="1:25" ht="15" customHeight="1" x14ac:dyDescent="0.3">
      <c r="A8" s="193" t="str">
        <f t="shared" ref="A8" si="0">PROPER(TEXT(B8, "dddd"))</f>
        <v>Tisdag</v>
      </c>
      <c r="B8" s="195">
        <f t="shared" ref="B8" si="1">Tisdag7</f>
        <v>45699</v>
      </c>
      <c r="C8" s="40">
        <v>0.33333333333333331</v>
      </c>
      <c r="D8" s="48">
        <v>0.39583333333333331</v>
      </c>
      <c r="E8" s="49"/>
      <c r="F8" s="50" t="s">
        <v>508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193"/>
      <c r="B9" s="195"/>
      <c r="C9" s="40">
        <v>0.35416666666666669</v>
      </c>
      <c r="D9" s="48">
        <v>0.39583333333333331</v>
      </c>
      <c r="E9" s="49" t="s">
        <v>117</v>
      </c>
      <c r="F9" s="50" t="s">
        <v>453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0.375</v>
      </c>
      <c r="D10" s="48">
        <v>0.44791666666666669</v>
      </c>
      <c r="E10" s="49" t="s">
        <v>83</v>
      </c>
      <c r="F10" s="50" t="s">
        <v>507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0.5625</v>
      </c>
      <c r="D11" s="48">
        <v>0.64583333333333337</v>
      </c>
      <c r="E11" s="49"/>
      <c r="F11" s="50" t="s">
        <v>587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0.70833333333333337</v>
      </c>
      <c r="D12" s="48">
        <v>0.83333333333333337</v>
      </c>
      <c r="E12" s="49"/>
      <c r="F12" s="50" t="s">
        <v>873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0.83333333333333337</v>
      </c>
      <c r="D13" s="48">
        <v>0.875</v>
      </c>
      <c r="E13" s="49" t="s">
        <v>78</v>
      </c>
      <c r="F13" s="50" t="s">
        <v>605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193" t="s">
        <v>0</v>
      </c>
      <c r="B14" s="195" t="s">
        <v>1</v>
      </c>
      <c r="C14" s="44" t="s">
        <v>824</v>
      </c>
      <c r="D14" s="45" t="s">
        <v>2</v>
      </c>
      <c r="E14" s="46" t="s">
        <v>3</v>
      </c>
      <c r="F14" s="47" t="s">
        <v>4</v>
      </c>
    </row>
    <row r="15" spans="1:25" ht="15" customHeight="1" x14ac:dyDescent="0.3">
      <c r="A15" s="193" t="str">
        <f t="shared" ref="A15" si="2">PROPER(TEXT(B15, "dddd"))</f>
        <v>Onsdag</v>
      </c>
      <c r="B15" s="195">
        <f t="shared" ref="B15" si="3">Onsdag7</f>
        <v>45700</v>
      </c>
      <c r="C15" s="40">
        <v>0.35416666666666669</v>
      </c>
      <c r="D15" s="48">
        <v>0.39583333333333331</v>
      </c>
      <c r="E15" s="49" t="s">
        <v>117</v>
      </c>
      <c r="F15" s="50" t="s">
        <v>453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193"/>
      <c r="B16" s="195"/>
      <c r="C16" s="40">
        <v>0.375</v>
      </c>
      <c r="D16" s="48">
        <v>0.45833333333333331</v>
      </c>
      <c r="E16" s="49"/>
      <c r="F16" s="50" t="s">
        <v>737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0.41666666666666669</v>
      </c>
      <c r="D17" s="48">
        <v>0.5</v>
      </c>
      <c r="E17" s="49"/>
      <c r="F17" s="50" t="s">
        <v>643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/>
      <c r="B18" s="195"/>
      <c r="C18" s="40">
        <v>0.55555555555555558</v>
      </c>
      <c r="D18" s="48">
        <v>0.63888888888888884</v>
      </c>
      <c r="E18" s="49"/>
      <c r="F18" s="50" t="s">
        <v>28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/>
      <c r="B19" s="195"/>
      <c r="C19" s="40">
        <v>0.55555555555555558</v>
      </c>
      <c r="D19" s="48">
        <v>0.63888888888888884</v>
      </c>
      <c r="E19" s="49"/>
      <c r="F19" s="50" t="s">
        <v>776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/>
      <c r="B20" s="195"/>
      <c r="C20" s="40">
        <v>0.70833333333333337</v>
      </c>
      <c r="D20" s="48">
        <v>0.83333333333333337</v>
      </c>
      <c r="E20" s="49"/>
      <c r="F20" s="50" t="s">
        <v>873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193"/>
      <c r="B21" s="195"/>
      <c r="C21" s="40">
        <v>0.83333333333333337</v>
      </c>
      <c r="D21" s="48">
        <v>0.875</v>
      </c>
      <c r="E21" s="49" t="s">
        <v>87</v>
      </c>
      <c r="F21" s="50" t="s">
        <v>408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193"/>
      <c r="B22" s="195"/>
      <c r="C22" s="40">
        <v>0.83333333333333337</v>
      </c>
      <c r="D22" s="48">
        <v>0.875</v>
      </c>
      <c r="E22" s="49" t="s">
        <v>86</v>
      </c>
      <c r="F22" s="50" t="s">
        <v>328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s="10" customFormat="1" ht="20.100000000000001" hidden="1" customHeight="1" x14ac:dyDescent="0.3">
      <c r="A23" s="193" t="s">
        <v>0</v>
      </c>
      <c r="B23" s="195" t="s">
        <v>1</v>
      </c>
      <c r="C23" s="44" t="s">
        <v>824</v>
      </c>
      <c r="D23" s="45" t="s">
        <v>2</v>
      </c>
      <c r="E23" s="46" t="s">
        <v>3</v>
      </c>
      <c r="F23" s="47" t="s">
        <v>4</v>
      </c>
    </row>
    <row r="24" spans="1:24" ht="15" customHeight="1" x14ac:dyDescent="0.3">
      <c r="A24" s="193" t="str">
        <f t="shared" ref="A24" si="4">PROPER(TEXT(B24, "dddd"))</f>
        <v>Torsdag</v>
      </c>
      <c r="B24" s="195">
        <f t="shared" ref="B24" si="5">Torsdag7</f>
        <v>45701</v>
      </c>
      <c r="C24" s="40">
        <v>0.35416666666666669</v>
      </c>
      <c r="D24" s="48">
        <v>0.39583333333333331</v>
      </c>
      <c r="E24" s="49" t="s">
        <v>117</v>
      </c>
      <c r="F24" s="50" t="s">
        <v>453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/>
      <c r="B25" s="195"/>
      <c r="C25" s="40">
        <v>0.375</v>
      </c>
      <c r="D25" s="48">
        <v>0.4375</v>
      </c>
      <c r="E25" s="49" t="s">
        <v>71</v>
      </c>
      <c r="F25" s="50" t="s">
        <v>507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/>
      <c r="B26" s="195"/>
      <c r="C26" s="40">
        <v>0.41666666666666669</v>
      </c>
      <c r="D26" s="48">
        <v>0.5</v>
      </c>
      <c r="E26" s="49"/>
      <c r="F26" s="50" t="s">
        <v>238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193"/>
      <c r="B27" s="195"/>
      <c r="C27" s="40">
        <v>0.54166666666666663</v>
      </c>
      <c r="D27" s="48">
        <v>0.58333333333333337</v>
      </c>
      <c r="E27" s="49" t="s">
        <v>86</v>
      </c>
      <c r="F27" s="50" t="s">
        <v>529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193"/>
      <c r="B28" s="195"/>
      <c r="C28" s="40">
        <v>0.5625</v>
      </c>
      <c r="D28" s="48">
        <v>0.64583333333333337</v>
      </c>
      <c r="E28" s="49"/>
      <c r="F28" s="50" t="s">
        <v>218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193"/>
      <c r="B29" s="195"/>
      <c r="C29" s="40">
        <v>0.60416666666666663</v>
      </c>
      <c r="D29" s="48">
        <v>0.64583333333333337</v>
      </c>
      <c r="E29" s="49" t="s">
        <v>86</v>
      </c>
      <c r="F29" s="50" t="s">
        <v>529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193"/>
      <c r="B30" s="195"/>
      <c r="C30" s="40">
        <v>0.625</v>
      </c>
      <c r="D30" s="48">
        <v>0.66666666666666663</v>
      </c>
      <c r="E30" s="49" t="s">
        <v>83</v>
      </c>
      <c r="F30" s="50" t="s">
        <v>447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193"/>
      <c r="B31" s="195"/>
      <c r="C31" s="40">
        <v>0.70833333333333337</v>
      </c>
      <c r="D31" s="48">
        <v>0.83333333333333337</v>
      </c>
      <c r="E31" s="49"/>
      <c r="F31" s="50" t="s">
        <v>873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193"/>
      <c r="B32" s="195"/>
      <c r="C32" s="40">
        <v>0.83333333333333337</v>
      </c>
      <c r="D32" s="48">
        <v>0.90625</v>
      </c>
      <c r="E32" s="49" t="s">
        <v>92</v>
      </c>
      <c r="F32" s="50" t="s">
        <v>731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hidden="1" customHeight="1" x14ac:dyDescent="0.3">
      <c r="A33" s="193" t="s">
        <v>0</v>
      </c>
      <c r="B33" s="195" t="s">
        <v>1</v>
      </c>
      <c r="C33" s="44" t="s">
        <v>824</v>
      </c>
      <c r="D33" s="45" t="s">
        <v>2</v>
      </c>
      <c r="E33" s="46" t="s">
        <v>3</v>
      </c>
      <c r="F33" s="47" t="s">
        <v>4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customHeight="1" x14ac:dyDescent="0.3">
      <c r="A34" s="193" t="str">
        <f t="shared" ref="A34" si="6">PROPER(TEXT(B34, "dddd"))</f>
        <v>Fredag</v>
      </c>
      <c r="B34" s="195">
        <f t="shared" ref="B34" si="7">Fredag7</f>
        <v>45702</v>
      </c>
      <c r="C34" s="40">
        <v>0.35416666666666669</v>
      </c>
      <c r="D34" s="48">
        <v>0.39583333333333331</v>
      </c>
      <c r="E34" s="49" t="s">
        <v>117</v>
      </c>
      <c r="F34" s="50" t="s">
        <v>453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customHeight="1" x14ac:dyDescent="0.3">
      <c r="A35" s="193"/>
      <c r="B35" s="195"/>
      <c r="C35" s="40">
        <v>0.375</v>
      </c>
      <c r="D35" s="48">
        <v>0.4375</v>
      </c>
      <c r="E35" s="49" t="s">
        <v>53</v>
      </c>
      <c r="F35" s="50" t="s">
        <v>507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customHeight="1" x14ac:dyDescent="0.3">
      <c r="A36" s="193"/>
      <c r="B36" s="195"/>
      <c r="C36" s="40">
        <v>0.41666666666666669</v>
      </c>
      <c r="D36" s="48">
        <v>0.5</v>
      </c>
      <c r="E36" s="49"/>
      <c r="F36" s="50" t="s">
        <v>629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193"/>
      <c r="B37" s="195"/>
      <c r="C37" s="40">
        <v>0.45833333333333331</v>
      </c>
      <c r="D37" s="48">
        <v>0.54166666666666663</v>
      </c>
      <c r="E37" s="49"/>
      <c r="F37" s="50" t="s">
        <v>800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8" spans="1:24" ht="15" customHeight="1" x14ac:dyDescent="0.3">
      <c r="A38" s="193"/>
      <c r="B38" s="195"/>
      <c r="C38" s="40">
        <v>0.70833333333333337</v>
      </c>
      <c r="D38" s="48">
        <v>0.83333333333333337</v>
      </c>
      <c r="E38" s="49"/>
      <c r="F38" s="50" t="s">
        <v>873</v>
      </c>
      <c r="G38"/>
      <c r="H38" s="1"/>
      <c r="I38" s="1"/>
      <c r="L38"/>
      <c r="M38"/>
      <c r="N38"/>
      <c r="O38"/>
      <c r="P38"/>
      <c r="Q38"/>
      <c r="R38"/>
      <c r="S38"/>
      <c r="T38"/>
      <c r="V38"/>
      <c r="W38"/>
      <c r="X38"/>
    </row>
    <row r="39" spans="1:24" ht="15" hidden="1" customHeight="1" x14ac:dyDescent="0.3">
      <c r="A39" s="193" t="s">
        <v>0</v>
      </c>
      <c r="B39" s="195" t="s">
        <v>1</v>
      </c>
      <c r="C39" s="44" t="s">
        <v>824</v>
      </c>
      <c r="D39" s="45" t="s">
        <v>2</v>
      </c>
      <c r="E39" s="46" t="s">
        <v>3</v>
      </c>
      <c r="F39" s="47" t="s">
        <v>4</v>
      </c>
      <c r="G39"/>
      <c r="H39" s="1"/>
      <c r="I39" s="1"/>
      <c r="L39"/>
      <c r="M39"/>
      <c r="N39"/>
      <c r="O39"/>
      <c r="P39"/>
      <c r="Q39"/>
      <c r="R39"/>
      <c r="S39"/>
      <c r="T39"/>
      <c r="V39"/>
      <c r="W39"/>
      <c r="X39"/>
    </row>
    <row r="40" spans="1:24" ht="15" customHeight="1" x14ac:dyDescent="0.3">
      <c r="A40" s="193" t="str">
        <f t="shared" ref="A40" si="8">PROPER(TEXT(B40, "dddd"))</f>
        <v>Lördag</v>
      </c>
      <c r="B40" s="195">
        <f t="shared" ref="B40" si="9">Lördag7</f>
        <v>45703</v>
      </c>
      <c r="C40" s="40">
        <v>0.39583333333333331</v>
      </c>
      <c r="D40" s="48">
        <v>0.54166666666666663</v>
      </c>
      <c r="E40" s="49"/>
      <c r="F40" s="50" t="s">
        <v>685</v>
      </c>
      <c r="G40"/>
      <c r="H40" s="1"/>
      <c r="I40" s="1"/>
      <c r="L40"/>
      <c r="M40"/>
      <c r="N40"/>
      <c r="O40"/>
      <c r="P40"/>
      <c r="Q40"/>
      <c r="R40"/>
      <c r="S40"/>
      <c r="T40"/>
      <c r="V40"/>
      <c r="W40"/>
      <c r="X40"/>
    </row>
    <row r="41" spans="1:24" ht="15" customHeight="1" x14ac:dyDescent="0.3">
      <c r="A41" s="193"/>
      <c r="B41" s="195"/>
      <c r="C41" s="40">
        <v>0.58333333333333337</v>
      </c>
      <c r="D41" s="48">
        <v>0.625</v>
      </c>
      <c r="E41" s="49" t="s">
        <v>88</v>
      </c>
      <c r="F41" s="50" t="s">
        <v>727</v>
      </c>
      <c r="G41"/>
      <c r="H41" s="1"/>
      <c r="I41" s="1"/>
      <c r="L41"/>
      <c r="M41"/>
      <c r="N41"/>
      <c r="O41"/>
      <c r="P41"/>
      <c r="Q41"/>
      <c r="R41"/>
      <c r="S41"/>
      <c r="T41"/>
      <c r="V41"/>
      <c r="W41"/>
      <c r="X41"/>
    </row>
    <row r="42" spans="1:24" ht="15" customHeight="1" x14ac:dyDescent="0.3">
      <c r="A42" s="193"/>
      <c r="B42" s="195"/>
      <c r="C42" s="40">
        <v>0.625</v>
      </c>
      <c r="D42" s="48">
        <v>0.66666666666666663</v>
      </c>
      <c r="E42" s="49"/>
      <c r="F42" s="50" t="s">
        <v>561</v>
      </c>
      <c r="G42"/>
      <c r="H42" s="1"/>
      <c r="I42" s="1"/>
      <c r="L42"/>
      <c r="M42"/>
      <c r="N42"/>
      <c r="O42"/>
      <c r="P42"/>
      <c r="Q42"/>
      <c r="R42"/>
      <c r="S42"/>
      <c r="T42"/>
      <c r="V42"/>
      <c r="W42"/>
      <c r="X42"/>
    </row>
    <row r="43" spans="1:24" s="10" customFormat="1" ht="15" customHeight="1" x14ac:dyDescent="0.3">
      <c r="A43" s="193"/>
      <c r="B43" s="195"/>
      <c r="C43" s="40">
        <v>0.66666666666666663</v>
      </c>
      <c r="D43" s="48">
        <v>0.75</v>
      </c>
      <c r="E43" s="49" t="s">
        <v>117</v>
      </c>
      <c r="F43" s="50" t="s">
        <v>193</v>
      </c>
    </row>
    <row r="44" spans="1:24" ht="15" hidden="1" customHeight="1" x14ac:dyDescent="0.3">
      <c r="A44" s="193" t="s">
        <v>0</v>
      </c>
      <c r="B44" s="195" t="s">
        <v>1</v>
      </c>
      <c r="C44" s="44" t="s">
        <v>824</v>
      </c>
      <c r="D44" s="45" t="s">
        <v>2</v>
      </c>
      <c r="E44" s="46" t="s">
        <v>3</v>
      </c>
      <c r="F44" s="47" t="s">
        <v>4</v>
      </c>
      <c r="G44"/>
      <c r="H44" s="1"/>
      <c r="I44" s="1"/>
      <c r="L44"/>
      <c r="M44"/>
      <c r="N44"/>
      <c r="O44"/>
      <c r="P44"/>
      <c r="Q44"/>
      <c r="R44"/>
      <c r="S44"/>
      <c r="T44"/>
      <c r="V44"/>
      <c r="W44"/>
      <c r="X44"/>
    </row>
    <row r="45" spans="1:24" ht="15" customHeight="1" x14ac:dyDescent="0.3">
      <c r="A45" s="193" t="str">
        <f>PROPER(TEXT(B45, "dddd"))</f>
        <v>Söndag</v>
      </c>
      <c r="B45" s="195">
        <f>Söndag7</f>
        <v>45704</v>
      </c>
      <c r="C45" s="40">
        <v>0.375</v>
      </c>
      <c r="D45" s="48">
        <v>0.79166666666666663</v>
      </c>
      <c r="E45" s="49"/>
      <c r="F45" s="50" t="s">
        <v>873</v>
      </c>
      <c r="G45"/>
      <c r="H45" s="1"/>
      <c r="I45" s="1"/>
      <c r="L45"/>
      <c r="M45"/>
      <c r="N45"/>
      <c r="O45"/>
      <c r="P45"/>
      <c r="Q45"/>
      <c r="R45"/>
      <c r="S45"/>
      <c r="T45"/>
      <c r="V45"/>
      <c r="W45"/>
      <c r="X45"/>
    </row>
    <row r="47" spans="1:24" ht="15" customHeight="1" x14ac:dyDescent="0.3">
      <c r="C47" s="40"/>
      <c r="D47" s="41"/>
    </row>
    <row r="48" spans="1:24" ht="15" customHeight="1" x14ac:dyDescent="0.3">
      <c r="C48" s="40"/>
      <c r="D48" s="8"/>
    </row>
    <row r="49" spans="3:4" ht="15" customHeight="1" x14ac:dyDescent="0.3">
      <c r="C49" s="40"/>
      <c r="D49" s="8"/>
    </row>
  </sheetData>
  <sheetProtection algorithmName="SHA-512" hashValue="yFaKCWgFJ6eHG+VQHeO4SJwsAX+x3j2rCZowTU2Sq2AMlz4LGZxbNHFWmytoR2QrT7aKXWSTCD9OfJpBETe05w==" saltValue="qlofq9ZPrxcGMQfnVdDE8g==" spinCount="100000" sheet="1" objects="1" scenarios="1" autoFilter="0" pivotTables="0"/>
  <sortState xmlns:xlrd2="http://schemas.microsoft.com/office/spreadsheetml/2017/richdata2" ref="A34:F38">
    <sortCondition ref="C34:C38"/>
  </sortState>
  <conditionalFormatting sqref="A8:A12 A15:A19 A21:A22 A24:A28 A34:A37 A40:A43 A30:A31 A3:A5 A45">
    <cfRule type="expression" dxfId="1034" priority="4">
      <formula>OR(IF($A2="Dag",1))</formula>
    </cfRule>
  </conditionalFormatting>
  <conditionalFormatting sqref="A15:A22 A40:A43 A3:B6 A8:B13 A45:B45 A24:B32 A34:B38">
    <cfRule type="cellIs" dxfId="1033" priority="1" operator="equal">
      <formula>"Datum"</formula>
    </cfRule>
    <cfRule type="cellIs" dxfId="1032" priority="2" operator="equal">
      <formula>"Dag"</formula>
    </cfRule>
  </conditionalFormatting>
  <conditionalFormatting sqref="A44">
    <cfRule type="expression" dxfId="1031" priority="22">
      <formula>OR(IF(#REF!="Dag",1))</formula>
    </cfRule>
  </conditionalFormatting>
  <conditionalFormatting sqref="A20 A29">
    <cfRule type="expression" dxfId="1030" priority="181">
      <formula>OR(IF($A16="Dag",1))</formula>
    </cfRule>
  </conditionalFormatting>
  <conditionalFormatting sqref="A1:B2 A7:B7 A14:B14 B15:B22 A23:B23 A33:B33 A39:B39 B40:B43 A44:B44 A46:B1048576">
    <cfRule type="cellIs" dxfId="1029" priority="14" operator="equal">
      <formula>"Datum"</formula>
    </cfRule>
    <cfRule type="cellIs" dxfId="1028" priority="15" operator="equal">
      <formula>"Dag"</formula>
    </cfRule>
  </conditionalFormatting>
  <conditionalFormatting sqref="B30:B31 B34:B37 B3:B5 B8:B12 B15:B19 B21:B22 B24:B28 B40:B43 B45">
    <cfRule type="expression" dxfId="1027" priority="21">
      <formula>OR(IF($B2="Datum",1))</formula>
    </cfRule>
  </conditionalFormatting>
  <conditionalFormatting sqref="B20 B29">
    <cfRule type="expression" dxfId="1026" priority="190">
      <formula>OR(IF($B16="Datum",1))</formula>
    </cfRule>
  </conditionalFormatting>
  <conditionalFormatting sqref="C3:E45">
    <cfRule type="expression" dxfId="1025" priority="18">
      <formula>OR(IF($E3="Hela hallen",1))</formula>
    </cfRule>
  </conditionalFormatting>
  <conditionalFormatting sqref="L1:T1048576">
    <cfRule type="cellIs" dxfId="1024" priority="13" operator="equal">
      <formula>"-"</formula>
    </cfRule>
  </conditionalFormatting>
  <conditionalFormatting sqref="A32">
    <cfRule type="expression" dxfId="1023" priority="580">
      <formula>OR(IF(#REF!="Dag",1))</formula>
    </cfRule>
  </conditionalFormatting>
  <conditionalFormatting sqref="B32">
    <cfRule type="expression" dxfId="1022" priority="590">
      <formula>OR(IF(#REF!="Datum",1))</formula>
    </cfRule>
  </conditionalFormatting>
  <conditionalFormatting sqref="A33">
    <cfRule type="expression" dxfId="1021" priority="613">
      <formula>OR(IF(#REF!="Dag",1))</formula>
    </cfRule>
  </conditionalFormatting>
  <conditionalFormatting sqref="B33">
    <cfRule type="expression" dxfId="1020" priority="614">
      <formula>OR(IF(#REF!="Datum",1))</formula>
    </cfRule>
  </conditionalFormatting>
  <conditionalFormatting sqref="A6 A13 A38">
    <cfRule type="expression" dxfId="1019" priority="677">
      <formula>OR(IF(#REF!="Dag",1))</formula>
    </cfRule>
  </conditionalFormatting>
  <conditionalFormatting sqref="B6 B13 B38">
    <cfRule type="expression" dxfId="1018" priority="687">
      <formula>OR(IF(#REF!="Datum",1))</formula>
    </cfRule>
  </conditionalFormatting>
  <conditionalFormatting sqref="C3:F45">
    <cfRule type="expression" dxfId="1010" priority="2761">
      <formula>OR(IF(#REF!=TRUE,1))</formula>
    </cfRule>
  </conditionalFormatting>
  <conditionalFormatting sqref="A7 A14 A23 A39">
    <cfRule type="expression" dxfId="1009" priority="2762">
      <formula>OR(IF(#REF!="Dag",1))</formula>
    </cfRule>
  </conditionalFormatting>
  <conditionalFormatting sqref="B7 B14 B23 B39 B44">
    <cfRule type="expression" dxfId="1008" priority="2763">
      <formula>OR(IF(#REF!="Datum",1))</formula>
    </cfRule>
  </conditionalFormatting>
  <printOptions horizontalCentered="1" verticalCentered="1"/>
  <pageMargins left="0.25" right="0.25" top="0.75" bottom="0.75" header="0.3" footer="0.3"/>
  <pageSetup paperSize="9" scale="28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138F59D-02A4-469C-B509-DBC0956A2190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A8:A12 A15:A19 A24:A28 A30:B31 A3:B5 A45:B45 A21:B22 A34:B37 A40:B43</xm:sqref>
        </x14:conditionalFormatting>
        <x14:conditionalFormatting xmlns:xm="http://schemas.microsoft.com/office/excel/2006/main">
          <x14:cfRule type="expression" priority="180" id="{0138F59D-02A4-469C-B509-DBC0956A2190}">
            <xm:f>AND(IF(ISERROR(MATCH($B20,Kalenderår!$A$3:$A$17,0)),FALSE,TRUE), IF($B16="Datum",TRUE,FALSE), IF($A16="Dag",TRUE,FALSE))</xm:f>
            <x14:dxf>
              <font>
                <color rgb="FFC00000"/>
              </font>
            </x14:dxf>
          </x14:cfRule>
          <xm:sqref>A20 A29</xm:sqref>
        </x14:conditionalFormatting>
        <x14:conditionalFormatting xmlns:xm="http://schemas.microsoft.com/office/excel/2006/main">
          <x14:cfRule type="expression" priority="17" id="{B0793010-0B13-44C2-9479-7AE59B78DE26}">
            <xm:f>AND(IF(ISERROR(MATCH($B8,Kalenderår!$A$3:$A$17,0)),FALSE,TRUE), IF($B7="Datum",TRUE,FALSE), IF($A7="Dag",TRUE,FALSE))</xm:f>
            <x14:dxf>
              <font>
                <color rgb="FFC00000"/>
              </font>
            </x14:dxf>
          </x14:cfRule>
          <xm:sqref>B8:B12 B15:B19 B24:B28</xm:sqref>
        </x14:conditionalFormatting>
        <x14:conditionalFormatting xmlns:xm="http://schemas.microsoft.com/office/excel/2006/main">
          <x14:cfRule type="expression" priority="187" id="{B0793010-0B13-44C2-9479-7AE59B78DE26}">
            <xm:f>AND(IF(ISERROR(MATCH($B20,Kalenderår!$A$3:$A$17,0)),FALSE,TRUE), IF($B16="Datum",TRUE,FALSE), IF($A16="Dag",TRUE,FALSE))</xm:f>
            <x14:dxf>
              <font>
                <color rgb="FFC00000"/>
              </font>
            </x14:dxf>
          </x14:cfRule>
          <xm:sqref>B20 B29</xm:sqref>
        </x14:conditionalFormatting>
        <x14:conditionalFormatting xmlns:xm="http://schemas.microsoft.com/office/excel/2006/main">
          <x14:cfRule type="expression" priority="599" id="{0138F59D-02A4-469C-B509-DBC0956A2190}">
            <xm:f>AND(IF(ISERROR(MATCH($B32,Kalenderår!$A$3:$A$17,0)),FALSE,TRUE), IF(#REF!="Datum",TRUE,FALSE), IF(#REF!="Dag",TRUE,FALSE))</xm:f>
            <x14:dxf>
              <font>
                <color rgb="FFC00000"/>
              </font>
            </x14:dxf>
          </x14:cfRule>
          <xm:sqref>A32:B32</xm:sqref>
        </x14:conditionalFormatting>
        <x14:conditionalFormatting xmlns:xm="http://schemas.microsoft.com/office/excel/2006/main">
          <x14:cfRule type="expression" priority="616" id="{0138F59D-02A4-469C-B509-DBC0956A2190}">
            <xm:f>AND(IF(ISERROR(MATCH($B33,Kalenderår!$A$3:$A$17,0)),FALSE,TRUE), IF(#REF!="Datum",TRUE,FALSE), IF(#REF!="Dag",TRUE,FALSE))</xm:f>
            <x14:dxf>
              <font>
                <color rgb="FFC00000"/>
              </font>
            </x14:dxf>
          </x14:cfRule>
          <xm:sqref>A33:B33</xm:sqref>
        </x14:conditionalFormatting>
        <x14:conditionalFormatting xmlns:xm="http://schemas.microsoft.com/office/excel/2006/main">
          <x14:cfRule type="expression" priority="696" id="{0138F59D-02A4-469C-B509-DBC0956A2190}">
            <xm:f>AND(IF(ISERROR(MATCH($B6,Kalenderår!$A$3:$A$17,0)),FALSE,TRUE), IF(#REF!="Datum",TRUE,FALSE), IF(#REF!="Dag",TRUE,FALSE))</xm:f>
            <x14:dxf>
              <font>
                <color rgb="FFC00000"/>
              </font>
            </x14:dxf>
          </x14:cfRule>
          <xm:sqref>A6:B6 A13:B13 A38:B38</xm:sqref>
        </x14:conditionalFormatting>
        <x14:conditionalFormatting xmlns:xm="http://schemas.microsoft.com/office/excel/2006/main">
          <x14:cfRule type="expression" priority="2770" id="{B0793010-0B13-44C2-9479-7AE59B78DE26}">
            <xm:f>AND(IF(ISERROR(MATCH($B7,Kalenderår!$A$3:$A$17,0)),FALSE,TRUE), IF(#REF!="Datum",TRUE,FALSE), IF(#REF!="Dag",TRUE,FALSE))</xm:f>
            <x14:dxf>
              <font>
                <color rgb="FFC00000"/>
              </font>
            </x14:dxf>
          </x14:cfRule>
          <xm:sqref>A7:B7 A14:B14 A23:B23 A39:B39 A44:B44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6F65F1-6AA0-44C7-8EC5-3442E6A59E66}">
          <x14:formula1>
            <xm:f>Kontaktuppgifter!$A$2:$A$300</xm:f>
          </x14:formula1>
          <xm:sqref>F15:F22 F40:F43 F3:F6 F8:F13 F45 F24:F32 F34:F38</xm:sqref>
        </x14:dataValidation>
        <x14:dataValidation type="list" allowBlank="1" showInputMessage="1" showErrorMessage="1" xr:uid="{CA9F1A81-FD9B-463B-8160-50729AE321A0}">
          <x14:formula1>
            <xm:f>Listor!$A$2:$A$150</xm:f>
          </x14:formula1>
          <xm:sqref>E15:E22 E40:E43 E3:E6 E8:E13 E45 E24:E32 E34:E38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1CE03-C9F3-49BA-A37D-4CD461FA5674}">
  <sheetPr codeName="Blad9">
    <pageSetUpPr fitToPage="1"/>
  </sheetPr>
  <dimension ref="A1:Y47"/>
  <sheetViews>
    <sheetView showGridLines="0" zoomScaleNormal="100" workbookViewId="0">
      <pane ySplit="2" topLeftCell="A3" activePane="bottomLeft" state="frozen"/>
      <selection activeCell="C19" sqref="C19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Måndag8</f>
        <v>45705</v>
      </c>
      <c r="W1" s="33">
        <f>Söndag8</f>
        <v>45711</v>
      </c>
      <c r="X1" s="34">
        <f>WEEKNUM(Söndag8, 2)</f>
        <v>8</v>
      </c>
      <c r="Y1" s="35" t="str">
        <f>"V. "&amp;X1&amp;", "&amp;TEXT(V1,"D MMM")&amp;"-"&amp;TEXT(W1,"D MMM")</f>
        <v>V. 8, 17 feb-23 feb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Måndag8</f>
        <v>45705</v>
      </c>
      <c r="C3" s="40">
        <v>0.35416666666666669</v>
      </c>
      <c r="D3" s="41">
        <v>0.4513888888888889</v>
      </c>
      <c r="E3" s="42" t="s">
        <v>60</v>
      </c>
      <c r="F3" s="43" t="s">
        <v>433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193"/>
      <c r="B4" s="194"/>
      <c r="C4" s="40">
        <v>0.625</v>
      </c>
      <c r="D4" s="41">
        <v>0.66666666666666663</v>
      </c>
      <c r="E4" s="42"/>
      <c r="F4" s="43" t="s">
        <v>582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193"/>
      <c r="B5" s="194"/>
      <c r="C5" s="40">
        <v>0.70833333333333337</v>
      </c>
      <c r="D5" s="41">
        <v>0.83333333333333337</v>
      </c>
      <c r="E5" s="42"/>
      <c r="F5" s="43" t="s">
        <v>873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4"/>
      <c r="C6" s="40">
        <v>0.83333333333333337</v>
      </c>
      <c r="D6" s="41">
        <v>0.875</v>
      </c>
      <c r="E6" s="42" t="s">
        <v>78</v>
      </c>
      <c r="F6" s="43" t="s">
        <v>280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/>
      <c r="B7" s="194"/>
      <c r="C7" s="40">
        <v>0.83333333333333337</v>
      </c>
      <c r="D7" s="41">
        <v>0.875</v>
      </c>
      <c r="E7" s="42" t="s">
        <v>87</v>
      </c>
      <c r="F7" s="43" t="s">
        <v>361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hidden="1" customHeight="1" x14ac:dyDescent="0.3">
      <c r="A8" s="193" t="s">
        <v>0</v>
      </c>
      <c r="B8" s="195" t="s">
        <v>1</v>
      </c>
      <c r="C8" s="44" t="s">
        <v>824</v>
      </c>
      <c r="D8" s="45" t="s">
        <v>2</v>
      </c>
      <c r="E8" s="46" t="s">
        <v>3</v>
      </c>
      <c r="F8" s="47" t="s">
        <v>4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193" t="str">
        <f t="shared" ref="A9" si="2">PROPER(TEXT(B9, "dddd"))</f>
        <v>Tisdag</v>
      </c>
      <c r="B9" s="195">
        <f t="shared" ref="B9" si="3">Tisdag8</f>
        <v>45706</v>
      </c>
      <c r="C9" s="40">
        <v>0.33333333333333331</v>
      </c>
      <c r="D9" s="48">
        <v>0.39583333333333331</v>
      </c>
      <c r="E9" s="49"/>
      <c r="F9" s="50" t="s">
        <v>508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0.35416666666666669</v>
      </c>
      <c r="D10" s="48">
        <v>0.4513888888888889</v>
      </c>
      <c r="E10" s="49" t="s">
        <v>60</v>
      </c>
      <c r="F10" s="50" t="s">
        <v>433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0.375</v>
      </c>
      <c r="D11" s="48">
        <v>0.44791666666666669</v>
      </c>
      <c r="E11" s="49" t="s">
        <v>83</v>
      </c>
      <c r="F11" s="50" t="s">
        <v>507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0.5625</v>
      </c>
      <c r="D12" s="48">
        <v>0.64583333333333337</v>
      </c>
      <c r="E12" s="49"/>
      <c r="F12" s="50" t="s">
        <v>587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0.70833333333333337</v>
      </c>
      <c r="D13" s="48">
        <v>0.83333333333333337</v>
      </c>
      <c r="E13" s="49"/>
      <c r="F13" s="50" t="s">
        <v>873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15" customHeight="1" x14ac:dyDescent="0.3">
      <c r="A14" s="193"/>
      <c r="B14" s="195"/>
      <c r="C14" s="40">
        <v>0.83333333333333337</v>
      </c>
      <c r="D14" s="48">
        <v>0.875</v>
      </c>
      <c r="E14" s="49" t="s">
        <v>78</v>
      </c>
      <c r="F14" s="50" t="s">
        <v>605</v>
      </c>
    </row>
    <row r="15" spans="1:25" ht="15" hidden="1" customHeight="1" x14ac:dyDescent="0.3">
      <c r="A15" s="193" t="s">
        <v>0</v>
      </c>
      <c r="B15" s="195" t="s">
        <v>1</v>
      </c>
      <c r="C15" s="44" t="s">
        <v>824</v>
      </c>
      <c r="D15" s="45" t="s">
        <v>2</v>
      </c>
      <c r="E15" s="46" t="s">
        <v>3</v>
      </c>
      <c r="F15" s="47" t="s">
        <v>4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193" t="str">
        <f t="shared" ref="A16" si="4">PROPER(TEXT(B16, "dddd"))</f>
        <v>Onsdag</v>
      </c>
      <c r="B16" s="195">
        <f t="shared" ref="B16" si="5">Onsdag8</f>
        <v>45707</v>
      </c>
      <c r="C16" s="40">
        <v>0.375</v>
      </c>
      <c r="D16" s="48">
        <v>0.45833333333333331</v>
      </c>
      <c r="E16" s="49"/>
      <c r="F16" s="50" t="s">
        <v>737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0.41666666666666669</v>
      </c>
      <c r="D17" s="48">
        <v>0.5</v>
      </c>
      <c r="E17" s="49"/>
      <c r="F17" s="50" t="s">
        <v>643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/>
      <c r="B18" s="195"/>
      <c r="C18" s="40">
        <v>0.55555555555555558</v>
      </c>
      <c r="D18" s="48">
        <v>0.63888888888888884</v>
      </c>
      <c r="E18" s="49"/>
      <c r="F18" s="50" t="s">
        <v>28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/>
      <c r="B19" s="195"/>
      <c r="C19" s="40">
        <v>0.55555555555555558</v>
      </c>
      <c r="D19" s="48">
        <v>0.63888888888888884</v>
      </c>
      <c r="E19" s="49"/>
      <c r="F19" s="50" t="s">
        <v>776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/>
      <c r="B20" s="195"/>
      <c r="C20" s="40">
        <v>0.70833333333333337</v>
      </c>
      <c r="D20" s="48">
        <v>0.83333333333333337</v>
      </c>
      <c r="E20" s="49"/>
      <c r="F20" s="50" t="s">
        <v>873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s="10" customFormat="1" ht="15" customHeight="1" x14ac:dyDescent="0.3">
      <c r="A21" s="193"/>
      <c r="B21" s="195"/>
      <c r="C21" s="40">
        <v>0.83333333333333337</v>
      </c>
      <c r="D21" s="48">
        <v>0.875</v>
      </c>
      <c r="E21" s="49" t="s">
        <v>87</v>
      </c>
      <c r="F21" s="50" t="s">
        <v>408</v>
      </c>
    </row>
    <row r="22" spans="1:24" ht="15" customHeight="1" x14ac:dyDescent="0.3">
      <c r="A22" s="193"/>
      <c r="B22" s="195"/>
      <c r="C22" s="40">
        <v>0.83333333333333337</v>
      </c>
      <c r="D22" s="48">
        <v>0.875</v>
      </c>
      <c r="E22" s="49" t="s">
        <v>86</v>
      </c>
      <c r="F22" s="50" t="s">
        <v>328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hidden="1" customHeight="1" x14ac:dyDescent="0.3">
      <c r="A23" s="193" t="s">
        <v>0</v>
      </c>
      <c r="B23" s="195" t="s">
        <v>1</v>
      </c>
      <c r="C23" s="44" t="s">
        <v>824</v>
      </c>
      <c r="D23" s="45" t="s">
        <v>2</v>
      </c>
      <c r="E23" s="46" t="s">
        <v>3</v>
      </c>
      <c r="F23" s="47" t="s">
        <v>4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193" t="str">
        <f t="shared" ref="A24" si="6">PROPER(TEXT(B24, "dddd"))</f>
        <v>Torsdag</v>
      </c>
      <c r="B24" s="195">
        <f t="shared" ref="B24" si="7">Torsdag8</f>
        <v>45708</v>
      </c>
      <c r="C24" s="40">
        <v>0.375</v>
      </c>
      <c r="D24" s="48">
        <v>0.4375</v>
      </c>
      <c r="E24" s="49" t="s">
        <v>71</v>
      </c>
      <c r="F24" s="50" t="s">
        <v>507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/>
      <c r="B25" s="195"/>
      <c r="C25" s="40">
        <v>0.41666666666666669</v>
      </c>
      <c r="D25" s="48">
        <v>0.5</v>
      </c>
      <c r="E25" s="49"/>
      <c r="F25" s="50" t="s">
        <v>238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/>
      <c r="B26" s="195"/>
      <c r="C26" s="40">
        <v>0.41666666666666669</v>
      </c>
      <c r="D26" s="48">
        <v>0.5</v>
      </c>
      <c r="E26" s="49" t="s">
        <v>85</v>
      </c>
      <c r="F26" s="50" t="s">
        <v>819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s="10" customFormat="1" ht="15" customHeight="1" x14ac:dyDescent="0.3">
      <c r="A27" s="193"/>
      <c r="B27" s="195"/>
      <c r="C27" s="40">
        <v>0.5625</v>
      </c>
      <c r="D27" s="48">
        <v>0.64583333333333337</v>
      </c>
      <c r="E27" s="49"/>
      <c r="F27" s="50" t="s">
        <v>218</v>
      </c>
    </row>
    <row r="28" spans="1:24" ht="15" customHeight="1" x14ac:dyDescent="0.3">
      <c r="A28" s="193"/>
      <c r="B28" s="195"/>
      <c r="C28" s="40">
        <v>0.70833333333333337</v>
      </c>
      <c r="D28" s="48">
        <v>0.83333333333333337</v>
      </c>
      <c r="E28" s="49"/>
      <c r="F28" s="50" t="s">
        <v>873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193"/>
      <c r="B29" s="195"/>
      <c r="C29" s="40">
        <v>0.83333333333333337</v>
      </c>
      <c r="D29" s="48">
        <v>0.90625</v>
      </c>
      <c r="E29" s="49" t="s">
        <v>92</v>
      </c>
      <c r="F29" s="50" t="s">
        <v>731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hidden="1" customHeight="1" x14ac:dyDescent="0.3">
      <c r="A30" s="193" t="s">
        <v>0</v>
      </c>
      <c r="B30" s="195" t="s">
        <v>1</v>
      </c>
      <c r="C30" s="44" t="s">
        <v>824</v>
      </c>
      <c r="D30" s="45" t="s">
        <v>2</v>
      </c>
      <c r="E30" s="46" t="s">
        <v>3</v>
      </c>
      <c r="F30" s="47" t="s">
        <v>4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s="10" customFormat="1" ht="15" customHeight="1" x14ac:dyDescent="0.3">
      <c r="A31" s="193" t="str">
        <f t="shared" ref="A31" si="8">PROPER(TEXT(B31, "dddd"))</f>
        <v>Fredag</v>
      </c>
      <c r="B31" s="195">
        <f t="shared" ref="B31" si="9">Fredag8</f>
        <v>45709</v>
      </c>
      <c r="C31" s="40">
        <v>0.375</v>
      </c>
      <c r="D31" s="48">
        <v>0.4375</v>
      </c>
      <c r="E31" s="49" t="s">
        <v>53</v>
      </c>
      <c r="F31" s="50" t="s">
        <v>507</v>
      </c>
    </row>
    <row r="32" spans="1:24" ht="15" customHeight="1" x14ac:dyDescent="0.3">
      <c r="A32" s="193"/>
      <c r="B32" s="195"/>
      <c r="C32" s="40">
        <v>0.41666666666666669</v>
      </c>
      <c r="D32" s="48">
        <v>0.5</v>
      </c>
      <c r="E32" s="49"/>
      <c r="F32" s="50" t="s">
        <v>629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193"/>
      <c r="B33" s="195"/>
      <c r="C33" s="40">
        <v>0.45833333333333331</v>
      </c>
      <c r="D33" s="48">
        <v>0.54166666666666663</v>
      </c>
      <c r="E33" s="49"/>
      <c r="F33" s="50" t="s">
        <v>800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customHeight="1" x14ac:dyDescent="0.3">
      <c r="A34" s="193"/>
      <c r="B34" s="195"/>
      <c r="C34" s="40">
        <v>0.5</v>
      </c>
      <c r="D34" s="48">
        <v>0.5625</v>
      </c>
      <c r="E34" s="49">
        <v>2</v>
      </c>
      <c r="F34" s="50" t="s">
        <v>556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s="10" customFormat="1" ht="15" customHeight="1" x14ac:dyDescent="0.3">
      <c r="A35" s="193"/>
      <c r="B35" s="195"/>
      <c r="C35" s="40">
        <v>0.70833333333333337</v>
      </c>
      <c r="D35" s="48">
        <v>0.83333333333333337</v>
      </c>
      <c r="E35" s="49"/>
      <c r="F35" s="50" t="s">
        <v>873</v>
      </c>
    </row>
    <row r="36" spans="1:24" ht="15" hidden="1" customHeight="1" x14ac:dyDescent="0.3">
      <c r="A36" s="193" t="s">
        <v>0</v>
      </c>
      <c r="B36" s="195" t="s">
        <v>1</v>
      </c>
      <c r="C36" s="44" t="s">
        <v>824</v>
      </c>
      <c r="D36" s="45" t="s">
        <v>2</v>
      </c>
      <c r="E36" s="46" t="s">
        <v>3</v>
      </c>
      <c r="F36" s="47" t="s">
        <v>4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193" t="str">
        <f>PROPER(TEXT(B37, "dddd"))</f>
        <v>Lördag</v>
      </c>
      <c r="B37" s="195">
        <f>Lördag8</f>
        <v>45710</v>
      </c>
      <c r="C37" s="40">
        <v>0.375</v>
      </c>
      <c r="D37" s="48">
        <v>0.625</v>
      </c>
      <c r="E37" s="49"/>
      <c r="F37" s="50" t="s">
        <v>873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8" spans="1:24" ht="15" customHeight="1" x14ac:dyDescent="0.3">
      <c r="A38" s="193"/>
      <c r="B38" s="195"/>
      <c r="C38" s="40">
        <v>0.58333333333333337</v>
      </c>
      <c r="D38" s="48">
        <v>0.625</v>
      </c>
      <c r="E38" s="49" t="s">
        <v>86</v>
      </c>
      <c r="F38" s="50" t="s">
        <v>825</v>
      </c>
      <c r="G38"/>
      <c r="H38" s="1"/>
      <c r="I38" s="1"/>
      <c r="L38"/>
      <c r="M38"/>
      <c r="N38"/>
      <c r="O38"/>
      <c r="P38"/>
      <c r="Q38"/>
      <c r="R38"/>
      <c r="S38"/>
      <c r="T38"/>
      <c r="V38"/>
      <c r="W38"/>
      <c r="X38"/>
    </row>
    <row r="39" spans="1:24" ht="15" customHeight="1" x14ac:dyDescent="0.3">
      <c r="A39" s="193"/>
      <c r="B39" s="195"/>
      <c r="C39" s="40">
        <v>0.625</v>
      </c>
      <c r="D39" s="48">
        <v>0.66666666666666663</v>
      </c>
      <c r="E39" s="49"/>
      <c r="F39" s="50" t="s">
        <v>561</v>
      </c>
      <c r="G39"/>
      <c r="H39" s="1"/>
      <c r="I39" s="1"/>
      <c r="L39"/>
      <c r="M39"/>
      <c r="N39"/>
      <c r="O39"/>
      <c r="P39"/>
      <c r="Q39"/>
      <c r="R39"/>
      <c r="S39"/>
      <c r="T39"/>
      <c r="V39"/>
      <c r="W39"/>
      <c r="X39"/>
    </row>
    <row r="40" spans="1:24" ht="15" hidden="1" customHeight="1" x14ac:dyDescent="0.3">
      <c r="A40" s="193" t="s">
        <v>0</v>
      </c>
      <c r="B40" s="195" t="s">
        <v>1</v>
      </c>
      <c r="C40" s="44" t="s">
        <v>824</v>
      </c>
      <c r="D40" s="45" t="s">
        <v>2</v>
      </c>
      <c r="E40" s="46" t="s">
        <v>3</v>
      </c>
      <c r="F40" s="47" t="s">
        <v>4</v>
      </c>
      <c r="G40"/>
      <c r="H40" s="1"/>
      <c r="I40" s="1"/>
      <c r="L40"/>
      <c r="M40"/>
      <c r="N40"/>
      <c r="O40"/>
      <c r="P40"/>
      <c r="Q40"/>
      <c r="R40"/>
      <c r="S40"/>
      <c r="T40"/>
      <c r="V40"/>
      <c r="W40"/>
      <c r="X40"/>
    </row>
    <row r="41" spans="1:24" ht="15" customHeight="1" x14ac:dyDescent="0.3">
      <c r="A41" s="193" t="str">
        <f>PROPER(TEXT(B41, "dddd"))</f>
        <v>Söndag</v>
      </c>
      <c r="B41" s="195">
        <f>Söndag8</f>
        <v>45711</v>
      </c>
      <c r="C41" s="40">
        <v>0.29166666666666669</v>
      </c>
      <c r="D41" s="48">
        <v>0.66666666666666663</v>
      </c>
      <c r="E41" s="49"/>
      <c r="F41" s="50" t="s">
        <v>476</v>
      </c>
      <c r="G41"/>
      <c r="H41" s="1"/>
      <c r="I41" s="1"/>
      <c r="L41"/>
      <c r="M41"/>
      <c r="N41"/>
      <c r="O41"/>
      <c r="P41"/>
      <c r="Q41"/>
      <c r="R41"/>
      <c r="S41"/>
      <c r="T41"/>
      <c r="V41"/>
      <c r="W41"/>
      <c r="X41"/>
    </row>
    <row r="42" spans="1:24" ht="15" customHeight="1" x14ac:dyDescent="0.3">
      <c r="A42" s="193"/>
      <c r="B42" s="195"/>
      <c r="C42" s="40">
        <v>0.66666666666666663</v>
      </c>
      <c r="D42" s="48">
        <v>0.79166666666666663</v>
      </c>
      <c r="E42" s="49"/>
      <c r="F42" s="50" t="s">
        <v>873</v>
      </c>
      <c r="G42"/>
      <c r="H42" s="1"/>
      <c r="I42" s="1"/>
      <c r="L42"/>
      <c r="M42"/>
      <c r="N42"/>
      <c r="O42"/>
      <c r="P42"/>
      <c r="Q42"/>
      <c r="R42"/>
      <c r="S42"/>
      <c r="T42"/>
      <c r="V42"/>
      <c r="W42"/>
      <c r="X42"/>
    </row>
    <row r="43" spans="1:24" ht="15" customHeight="1" x14ac:dyDescent="0.3">
      <c r="A43" s="193"/>
      <c r="B43" s="195"/>
      <c r="C43" s="40">
        <v>0.79166666666666663</v>
      </c>
      <c r="D43" s="48">
        <v>0.83333333333333337</v>
      </c>
      <c r="E43" s="49" t="s">
        <v>75</v>
      </c>
      <c r="F43" s="50" t="s">
        <v>618</v>
      </c>
      <c r="G43"/>
      <c r="H43" s="1"/>
      <c r="I43" s="1"/>
      <c r="L43"/>
      <c r="M43"/>
      <c r="N43"/>
      <c r="O43"/>
      <c r="P43"/>
      <c r="Q43"/>
      <c r="R43"/>
      <c r="S43"/>
      <c r="T43"/>
      <c r="V43"/>
      <c r="W43"/>
      <c r="X43"/>
    </row>
    <row r="45" spans="1:24" ht="15" customHeight="1" x14ac:dyDescent="0.3">
      <c r="C45" s="40"/>
      <c r="D45" s="41"/>
    </row>
    <row r="46" spans="1:24" ht="15" customHeight="1" x14ac:dyDescent="0.3">
      <c r="C46" s="40"/>
      <c r="D46" s="8"/>
    </row>
    <row r="47" spans="1:24" ht="15" customHeight="1" x14ac:dyDescent="0.3">
      <c r="C47" s="40"/>
      <c r="D47" s="8"/>
    </row>
  </sheetData>
  <sheetProtection algorithmName="SHA-512" hashValue="5vuyhXGW9tQSXQowCm5Q6U4KnqC7dx9ZfCKA0Wt/CLTUtkV1y1aNk0+9aL4j176vZNWio8rvO7PzKT50/1qAow==" saltValue="uHKTnnobDzclbYvAKd8OWQ==" spinCount="100000" sheet="1" objects="1" scenarios="1" autoFilter="0" pivotTables="0"/>
  <sortState xmlns:xlrd2="http://schemas.microsoft.com/office/spreadsheetml/2017/richdata2" ref="A31:F35">
    <sortCondition ref="C31:C35"/>
  </sortState>
  <conditionalFormatting sqref="A3:A6 A9:A13 A16:A21 A24:A28 A37:A38 A31:A33 A41:A42">
    <cfRule type="cellIs" dxfId="1006" priority="1" operator="equal">
      <formula>"Datum"</formula>
    </cfRule>
    <cfRule type="cellIs" dxfId="1005" priority="2" operator="equal">
      <formula>"Dag"</formula>
    </cfRule>
    <cfRule type="expression" dxfId="1004" priority="4">
      <formula>OR(IF($A2="Dag",1))</formula>
    </cfRule>
  </conditionalFormatting>
  <conditionalFormatting sqref="A40">
    <cfRule type="expression" dxfId="1003" priority="22">
      <formula>OR(IF($A39="Dag",1))</formula>
    </cfRule>
  </conditionalFormatting>
  <conditionalFormatting sqref="A21">
    <cfRule type="expression" dxfId="1002" priority="198">
      <formula>OR(IF($A17="Dag",1))</formula>
    </cfRule>
  </conditionalFormatting>
  <conditionalFormatting sqref="A1:B2 A8:B8 A15:B15 A23:B23 A30:B30 A36:B36 A40:B40 A44:B1048576 B3:B7 B9:B14 B16:B22 B24:B29 B37:B39 B41:B43 B31:B35">
    <cfRule type="cellIs" dxfId="1001" priority="14" operator="equal">
      <formula>"Datum"</formula>
    </cfRule>
    <cfRule type="cellIs" dxfId="1000" priority="15" operator="equal">
      <formula>"Dag"</formula>
    </cfRule>
  </conditionalFormatting>
  <conditionalFormatting sqref="B3:B6 B37:B38 B41:B42 B8:B13 B15:B20 B23:B28 B30:B33">
    <cfRule type="expression" dxfId="999" priority="21">
      <formula>OR(IF($B2="Datum",1))</formula>
    </cfRule>
  </conditionalFormatting>
  <conditionalFormatting sqref="B21">
    <cfRule type="expression" dxfId="998" priority="207">
      <formula>OR(IF($B17="Datum",1))</formula>
    </cfRule>
  </conditionalFormatting>
  <conditionalFormatting sqref="C3:E43">
    <cfRule type="expression" dxfId="997" priority="18">
      <formula>OR(IF($E3="Hela hallen",1))</formula>
    </cfRule>
  </conditionalFormatting>
  <conditionalFormatting sqref="L1:T1048576">
    <cfRule type="cellIs" dxfId="996" priority="13" operator="equal">
      <formula>"-"</formula>
    </cfRule>
  </conditionalFormatting>
  <conditionalFormatting sqref="A7 A14 A22 A29 A39 A43 A34:A35">
    <cfRule type="cellIs" dxfId="995" priority="701" operator="equal">
      <formula>"Datum"</formula>
    </cfRule>
    <cfRule type="cellIs" dxfId="994" priority="702" operator="equal">
      <formula>"Dag"</formula>
    </cfRule>
    <cfRule type="expression" dxfId="993" priority="703">
      <formula>OR(IF(#REF!="Dag",1))</formula>
    </cfRule>
  </conditionalFormatting>
  <conditionalFormatting sqref="B7 B14 B22 B29 B39 B43 B34:B35">
    <cfRule type="expression" dxfId="992" priority="711">
      <formula>OR(IF(#REF!="Datum",1))</formula>
    </cfRule>
  </conditionalFormatting>
  <conditionalFormatting sqref="A30">
    <cfRule type="expression" dxfId="991" priority="767">
      <formula>OR(IF($A29="Dag",1))</formula>
    </cfRule>
  </conditionalFormatting>
  <conditionalFormatting sqref="B40">
    <cfRule type="expression" dxfId="990" priority="770">
      <formula>OR(IF($B39="Datum",1))</formula>
    </cfRule>
  </conditionalFormatting>
  <conditionalFormatting sqref="A36">
    <cfRule type="expression" dxfId="989" priority="839">
      <formula>OR(IF($A34="Dag",1))</formula>
    </cfRule>
  </conditionalFormatting>
  <conditionalFormatting sqref="B36">
    <cfRule type="expression" dxfId="988" priority="840">
      <formula>OR(IF($B34="Datum",1))</formula>
    </cfRule>
  </conditionalFormatting>
  <conditionalFormatting sqref="C3:F43">
    <cfRule type="expression" dxfId="981" priority="2772">
      <formula>OR(IF(#REF!=TRUE,1))</formula>
    </cfRule>
  </conditionalFormatting>
  <conditionalFormatting sqref="A8 A15 A23">
    <cfRule type="expression" dxfId="980" priority="2778">
      <formula>OR(IF($A7="Dag",1))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EC5D34F-4D8D-4C6B-AFB9-0903E3C36772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A9:A13 A16:A21 A24:A28 A37:B38 A3:B6 A8:B8 A15:B15 A23:B23 A30:B33 A40:B42</xm:sqref>
        </x14:conditionalFormatting>
        <x14:conditionalFormatting xmlns:xm="http://schemas.microsoft.com/office/excel/2006/main">
          <x14:cfRule type="expression" priority="197" id="{9EC5D34F-4D8D-4C6B-AFB9-0903E3C36772}">
            <xm:f>AND(IF(ISERROR(MATCH($B21,Kalenderår!$A$3:$A$17,0)),FALSE,TRUE), IF($B17="Datum",TRUE,FALSE), IF($A17="Dag",TRUE,FALSE))</xm:f>
            <x14:dxf>
              <font>
                <color rgb="FFC00000"/>
              </font>
            </x14:dxf>
          </x14:cfRule>
          <xm:sqref>A21</xm:sqref>
        </x14:conditionalFormatting>
        <x14:conditionalFormatting xmlns:xm="http://schemas.microsoft.com/office/excel/2006/main">
          <x14:cfRule type="expression" priority="17" id="{82A216ED-4F1B-4E30-A958-519A98740151}">
            <xm:f>AND(IF(ISERROR(MATCH($B9,Kalenderår!$A$3:$A$17,0)),FALSE,TRUE), IF($B8="Datum",TRUE,FALSE), IF($A8="Dag",TRUE,FALSE))</xm:f>
            <x14:dxf>
              <font>
                <color rgb="FFC00000"/>
              </font>
            </x14:dxf>
          </x14:cfRule>
          <xm:sqref>B9:B13 B16:B20 B24:B28</xm:sqref>
        </x14:conditionalFormatting>
        <x14:conditionalFormatting xmlns:xm="http://schemas.microsoft.com/office/excel/2006/main">
          <x14:cfRule type="expression" priority="204" id="{82A216ED-4F1B-4E30-A958-519A98740151}">
            <xm:f>AND(IF(ISERROR(MATCH($B21,Kalenderår!$A$3:$A$17,0)),FALSE,TRUE), IF($B17="Datum",TRUE,FALSE), IF($A17="Dag",TRUE,FALSE))</xm:f>
            <x14:dxf>
              <font>
                <color rgb="FFC00000"/>
              </font>
            </x14:dxf>
          </x14:cfRule>
          <xm:sqref>B21</xm:sqref>
        </x14:conditionalFormatting>
        <x14:conditionalFormatting xmlns:xm="http://schemas.microsoft.com/office/excel/2006/main">
          <x14:cfRule type="expression" priority="721" id="{9EC5D34F-4D8D-4C6B-AFB9-0903E3C36772}">
            <xm:f>AND(IF(ISERROR(MATCH($B7,Kalenderår!$A$3:$A$17,0)),FALSE,TRUE), IF(#REF!="Datum",TRUE,FALSE), IF(#REF!="Dag",TRUE,FALSE))</xm:f>
            <x14:dxf>
              <font>
                <color rgb="FFC00000"/>
              </font>
            </x14:dxf>
          </x14:cfRule>
          <xm:sqref>A7:B7 A14:B14 A22:B22 A29:B29 A34:B35 A39:B39 A43:B43</xm:sqref>
        </x14:conditionalFormatting>
        <x14:conditionalFormatting xmlns:xm="http://schemas.microsoft.com/office/excel/2006/main">
          <x14:cfRule type="expression" priority="782" id="{82A216ED-4F1B-4E30-A958-519A98740151}">
            <xm:f>AND(IF(ISERROR(MATCH($B36,Kalenderår!$A$3:$A$17,0)),FALSE,TRUE), IF($B34="Datum",TRUE,FALSE), IF($A34="Dag",TRUE,FALSE))</xm:f>
            <x14:dxf>
              <font>
                <color rgb="FFC00000"/>
              </font>
            </x14:dxf>
          </x14:cfRule>
          <xm:sqref>A36:B36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4B5B4B-A15C-4AC9-BAAE-B2BB4173852B}">
          <x14:formula1>
            <xm:f>Kontaktuppgifter!$A$2:$A$300</xm:f>
          </x14:formula1>
          <xm:sqref>F3:F7 F9:F14 F16:F22 F24:F29 F37:F39 F41:F43 F31:F35</xm:sqref>
        </x14:dataValidation>
        <x14:dataValidation type="list" allowBlank="1" showInputMessage="1" showErrorMessage="1" xr:uid="{1A2FB35A-A7DD-4D2A-94EB-A65467DF5FEA}">
          <x14:formula1>
            <xm:f>Listor!$A$2:$A$150</xm:f>
          </x14:formula1>
          <xm:sqref>E3:E7 E9:E14 E16:E22 E24:E29 E37:E39 E41:E43 E31:E35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BF89-131D-42FC-BCCD-C3FB6AE9B0EB}">
  <sheetPr codeName="Blad10">
    <pageSetUpPr fitToPage="1"/>
  </sheetPr>
  <dimension ref="A1:Y41"/>
  <sheetViews>
    <sheetView showGridLines="0" zoomScaleNormal="100" workbookViewId="0">
      <pane ySplit="2" topLeftCell="A3" activePane="bottomLeft" state="frozen"/>
      <selection activeCell="C19" sqref="C19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7.10937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Måndag9</f>
        <v>45712</v>
      </c>
      <c r="W1" s="33">
        <f>Söndag9</f>
        <v>45718</v>
      </c>
      <c r="X1" s="34">
        <f>WEEKNUM(Söndag9, 2)</f>
        <v>9</v>
      </c>
      <c r="Y1" s="35" t="str">
        <f>"V. "&amp;X1&amp;", "&amp;TEXT(V1,"D MMM")&amp;"-"&amp;TEXT(W1,"D MMM")</f>
        <v>V. 9, 24 feb-2 mar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>PROPER(TEXT(B3, "dddd"))</f>
        <v>Måndag</v>
      </c>
      <c r="B3" s="194">
        <f>Måndag9</f>
        <v>45712</v>
      </c>
      <c r="C3" s="40">
        <v>0.70833333333333337</v>
      </c>
      <c r="D3" s="41">
        <v>0.83333333333333337</v>
      </c>
      <c r="E3" s="42"/>
      <c r="F3" s="43" t="s">
        <v>873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193"/>
      <c r="B4" s="194"/>
      <c r="C4" s="40">
        <v>0.83333333333333337</v>
      </c>
      <c r="D4" s="41">
        <v>0.875</v>
      </c>
      <c r="E4" s="42" t="s">
        <v>87</v>
      </c>
      <c r="F4" s="43" t="s">
        <v>361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hidden="1" customHeight="1" x14ac:dyDescent="0.3">
      <c r="A5" s="193" t="s">
        <v>0</v>
      </c>
      <c r="B5" s="195" t="s">
        <v>1</v>
      </c>
      <c r="C5" s="44" t="s">
        <v>824</v>
      </c>
      <c r="D5" s="45" t="s">
        <v>2</v>
      </c>
      <c r="E5" s="46" t="s">
        <v>3</v>
      </c>
      <c r="F5" s="47" t="s">
        <v>4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 t="str">
        <f t="shared" ref="A6" si="0">PROPER(TEXT(B6, "dddd"))</f>
        <v>Tisdag</v>
      </c>
      <c r="B6" s="195">
        <f t="shared" ref="B6" si="1">Tisdag9</f>
        <v>45713</v>
      </c>
      <c r="C6" s="40">
        <v>0.33333333333333331</v>
      </c>
      <c r="D6" s="48">
        <v>0.39583333333333331</v>
      </c>
      <c r="E6" s="49"/>
      <c r="F6" s="50" t="s">
        <v>508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/>
      <c r="B7" s="195"/>
      <c r="C7" s="40">
        <v>0.375</v>
      </c>
      <c r="D7" s="48">
        <v>0.44791666666666669</v>
      </c>
      <c r="E7" s="49" t="s">
        <v>83</v>
      </c>
      <c r="F7" s="50" t="s">
        <v>507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193"/>
      <c r="B8" s="195"/>
      <c r="C8" s="40">
        <v>0.47916666666666669</v>
      </c>
      <c r="D8" s="48">
        <v>0.54166666666666663</v>
      </c>
      <c r="E8" s="49">
        <v>2</v>
      </c>
      <c r="F8" s="50" t="s">
        <v>556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193"/>
      <c r="B9" s="195"/>
      <c r="C9" s="40">
        <v>0.5625</v>
      </c>
      <c r="D9" s="48">
        <v>0.64583333333333337</v>
      </c>
      <c r="E9" s="49"/>
      <c r="F9" s="50" t="s">
        <v>587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0.70833333333333337</v>
      </c>
      <c r="D10" s="48">
        <v>0.83333333333333337</v>
      </c>
      <c r="E10" s="49"/>
      <c r="F10" s="50" t="s">
        <v>873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0.83333333333333337</v>
      </c>
      <c r="D11" s="48">
        <v>0.875</v>
      </c>
      <c r="E11" s="49" t="s">
        <v>78</v>
      </c>
      <c r="F11" s="50" t="s">
        <v>605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hidden="1" customHeight="1" x14ac:dyDescent="0.3">
      <c r="A12" s="193" t="s">
        <v>0</v>
      </c>
      <c r="B12" s="195" t="s">
        <v>1</v>
      </c>
      <c r="C12" s="44" t="s">
        <v>824</v>
      </c>
      <c r="D12" s="45" t="s">
        <v>2</v>
      </c>
      <c r="E12" s="46" t="s">
        <v>3</v>
      </c>
      <c r="F12" s="47" t="s">
        <v>4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 t="str">
        <f t="shared" ref="A13" si="2">PROPER(TEXT(B13, "dddd"))</f>
        <v>Onsdag</v>
      </c>
      <c r="B13" s="195">
        <f t="shared" ref="B13" si="3">Onsdag9</f>
        <v>45714</v>
      </c>
      <c r="C13" s="40">
        <v>0.375</v>
      </c>
      <c r="D13" s="48">
        <v>0.45833333333333331</v>
      </c>
      <c r="E13" s="49"/>
      <c r="F13" s="50" t="s">
        <v>737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/>
      <c r="B14" s="195"/>
      <c r="C14" s="40">
        <v>0.41666666666666669</v>
      </c>
      <c r="D14" s="48">
        <v>0.5</v>
      </c>
      <c r="E14" s="49"/>
      <c r="F14" s="50" t="s">
        <v>643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193"/>
      <c r="B15" s="195"/>
      <c r="C15" s="40">
        <v>0.55555555555555558</v>
      </c>
      <c r="D15" s="48">
        <v>0.63888888888888884</v>
      </c>
      <c r="E15" s="49"/>
      <c r="F15" s="50" t="s">
        <v>28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193"/>
      <c r="B16" s="195"/>
      <c r="C16" s="40">
        <v>0.55555555555555558</v>
      </c>
      <c r="D16" s="48">
        <v>0.63888888888888884</v>
      </c>
      <c r="E16" s="49"/>
      <c r="F16" s="50" t="s">
        <v>776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0.70833333333333337</v>
      </c>
      <c r="D17" s="48">
        <v>0.83333333333333337</v>
      </c>
      <c r="E17" s="49"/>
      <c r="F17" s="50" t="s">
        <v>873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/>
      <c r="B18" s="195"/>
      <c r="C18" s="40">
        <v>0.83333333333333337</v>
      </c>
      <c r="D18" s="48">
        <v>0.875</v>
      </c>
      <c r="E18" s="49" t="s">
        <v>87</v>
      </c>
      <c r="F18" s="50" t="s">
        <v>408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/>
      <c r="B19" s="195"/>
      <c r="C19" s="40">
        <v>0.83333333333333337</v>
      </c>
      <c r="D19" s="48">
        <v>0.875</v>
      </c>
      <c r="E19" s="49" t="s">
        <v>86</v>
      </c>
      <c r="F19" s="50" t="s">
        <v>328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hidden="1" customHeight="1" x14ac:dyDescent="0.3">
      <c r="A20" s="193" t="s">
        <v>0</v>
      </c>
      <c r="B20" s="195" t="s">
        <v>1</v>
      </c>
      <c r="C20" s="44" t="s">
        <v>824</v>
      </c>
      <c r="D20" s="45" t="s">
        <v>2</v>
      </c>
      <c r="E20" s="46" t="s">
        <v>3</v>
      </c>
      <c r="F20" s="47" t="s">
        <v>4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193" t="str">
        <f t="shared" ref="A21" si="4">PROPER(TEXT(B21, "dddd"))</f>
        <v>Torsdag</v>
      </c>
      <c r="B21" s="195">
        <f t="shared" ref="B21" si="5">Torsdag9</f>
        <v>45715</v>
      </c>
      <c r="C21" s="40">
        <v>0.35416666666666669</v>
      </c>
      <c r="D21" s="48">
        <v>0.4375</v>
      </c>
      <c r="E21" s="49">
        <v>3</v>
      </c>
      <c r="F21" s="50" t="s">
        <v>485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193"/>
      <c r="B22" s="195"/>
      <c r="C22" s="40">
        <v>0.375</v>
      </c>
      <c r="D22" s="48">
        <v>0.4375</v>
      </c>
      <c r="E22" s="49" t="s">
        <v>71</v>
      </c>
      <c r="F22" s="50" t="s">
        <v>507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193"/>
      <c r="B23" s="195"/>
      <c r="C23" s="40">
        <v>0.41666666666666669</v>
      </c>
      <c r="D23" s="48">
        <v>0.5</v>
      </c>
      <c r="E23" s="49"/>
      <c r="F23" s="50" t="s">
        <v>238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s="10" customFormat="1" ht="15" customHeight="1" x14ac:dyDescent="0.3">
      <c r="A24" s="193"/>
      <c r="B24" s="195"/>
      <c r="C24" s="40">
        <v>0.5625</v>
      </c>
      <c r="D24" s="48">
        <v>0.64583333333333337</v>
      </c>
      <c r="E24" s="49"/>
      <c r="F24" s="50" t="s">
        <v>218</v>
      </c>
    </row>
    <row r="25" spans="1:24" ht="15" customHeight="1" x14ac:dyDescent="0.3">
      <c r="A25" s="193"/>
      <c r="B25" s="195"/>
      <c r="C25" s="40">
        <v>0.70833333333333337</v>
      </c>
      <c r="D25" s="48">
        <v>0.83333333333333337</v>
      </c>
      <c r="E25" s="49"/>
      <c r="F25" s="50" t="s">
        <v>873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hidden="1" customHeight="1" x14ac:dyDescent="0.3">
      <c r="A26" s="193" t="s">
        <v>0</v>
      </c>
      <c r="B26" s="195" t="s">
        <v>1</v>
      </c>
      <c r="C26" s="44" t="s">
        <v>824</v>
      </c>
      <c r="D26" s="45" t="s">
        <v>2</v>
      </c>
      <c r="E26" s="46" t="s">
        <v>3</v>
      </c>
      <c r="F26" s="47" t="s">
        <v>4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193" t="str">
        <f t="shared" ref="A27" si="6">PROPER(TEXT(B27, "dddd"))</f>
        <v>Fredag</v>
      </c>
      <c r="B27" s="195">
        <f t="shared" ref="B27" si="7">Fredag9</f>
        <v>45716</v>
      </c>
      <c r="C27" s="40">
        <v>0.375</v>
      </c>
      <c r="D27" s="48">
        <v>0.4375</v>
      </c>
      <c r="E27" s="49" t="s">
        <v>53</v>
      </c>
      <c r="F27" s="50" t="s">
        <v>507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193"/>
      <c r="B28" s="195"/>
      <c r="C28" s="40">
        <v>0.41666666666666669</v>
      </c>
      <c r="D28" s="48">
        <v>0.5</v>
      </c>
      <c r="E28" s="49"/>
      <c r="F28" s="50" t="s">
        <v>629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193"/>
      <c r="B29" s="195"/>
      <c r="C29" s="40">
        <v>0.45833333333333331</v>
      </c>
      <c r="D29" s="48">
        <v>0.54166666666666663</v>
      </c>
      <c r="E29" s="49"/>
      <c r="F29" s="50" t="s">
        <v>800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s="10" customFormat="1" ht="15" customHeight="1" x14ac:dyDescent="0.3">
      <c r="A30" s="193"/>
      <c r="B30" s="195"/>
      <c r="C30" s="40">
        <v>0.70833333333333337</v>
      </c>
      <c r="D30" s="48">
        <v>0.83333333333333337</v>
      </c>
      <c r="E30" s="49"/>
      <c r="F30" s="50" t="s">
        <v>873</v>
      </c>
    </row>
    <row r="31" spans="1:24" ht="15" hidden="1" customHeight="1" x14ac:dyDescent="0.3">
      <c r="A31" s="193" t="s">
        <v>0</v>
      </c>
      <c r="B31" s="195" t="s">
        <v>1</v>
      </c>
      <c r="C31" s="44" t="s">
        <v>824</v>
      </c>
      <c r="D31" s="45" t="s">
        <v>2</v>
      </c>
      <c r="E31" s="46" t="s">
        <v>3</v>
      </c>
      <c r="F31" s="47" t="s">
        <v>4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193" t="str">
        <f>PROPER(TEXT(B32, "dddd"))</f>
        <v>Lördag</v>
      </c>
      <c r="B32" s="195">
        <f>Lördag9</f>
        <v>45717</v>
      </c>
      <c r="C32" s="40">
        <v>0.375</v>
      </c>
      <c r="D32" s="48">
        <v>0.625</v>
      </c>
      <c r="E32" s="49"/>
      <c r="F32" s="50" t="s">
        <v>873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193"/>
      <c r="B33" s="195"/>
      <c r="C33" s="40">
        <v>0.41666666666666669</v>
      </c>
      <c r="D33" s="48">
        <v>0.47916666666666669</v>
      </c>
      <c r="E33" s="49"/>
      <c r="F33" s="50" t="s">
        <v>829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s="10" customFormat="1" ht="15" customHeight="1" x14ac:dyDescent="0.3">
      <c r="A34" s="193"/>
      <c r="B34" s="195"/>
      <c r="C34" s="40">
        <v>0.625</v>
      </c>
      <c r="D34" s="48">
        <v>0.66666666666666663</v>
      </c>
      <c r="E34" s="49"/>
      <c r="F34" s="50" t="s">
        <v>561</v>
      </c>
    </row>
    <row r="35" spans="1:24" ht="15" customHeight="1" x14ac:dyDescent="0.3">
      <c r="A35" s="193"/>
      <c r="B35" s="195"/>
      <c r="C35" s="40">
        <v>0.66666666666666663</v>
      </c>
      <c r="D35" s="48">
        <v>0.75</v>
      </c>
      <c r="E35" s="49" t="s">
        <v>62</v>
      </c>
      <c r="F35" s="50" t="s">
        <v>842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hidden="1" customHeight="1" x14ac:dyDescent="0.3">
      <c r="A36" s="193" t="s">
        <v>0</v>
      </c>
      <c r="B36" s="195" t="s">
        <v>1</v>
      </c>
      <c r="C36" s="44" t="s">
        <v>824</v>
      </c>
      <c r="D36" s="45" t="s">
        <v>2</v>
      </c>
      <c r="E36" s="46" t="s">
        <v>3</v>
      </c>
      <c r="F36" s="47" t="s">
        <v>4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193" t="str">
        <f>PROPER(TEXT(B37, "dddd"))</f>
        <v>Söndag</v>
      </c>
      <c r="B37" s="195">
        <f>Söndag9</f>
        <v>45718</v>
      </c>
      <c r="C37" s="40">
        <v>0.375</v>
      </c>
      <c r="D37" s="48">
        <v>0.79166666666666663</v>
      </c>
      <c r="E37" s="49"/>
      <c r="F37" s="50" t="s">
        <v>873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9" spans="1:24" ht="15" customHeight="1" x14ac:dyDescent="0.3">
      <c r="C39" s="40"/>
      <c r="D39" s="41"/>
    </row>
    <row r="40" spans="1:24" ht="15" customHeight="1" x14ac:dyDescent="0.3">
      <c r="C40" s="40"/>
      <c r="D40" s="8"/>
    </row>
    <row r="41" spans="1:24" ht="15" customHeight="1" x14ac:dyDescent="0.3">
      <c r="C41" s="40"/>
      <c r="D41" s="8"/>
    </row>
  </sheetData>
  <sheetProtection algorithmName="SHA-512" hashValue="adR7DCM8EcEGLmjKnyTWawPn+5ziGdDAmUMgN3Ybm5LWsjUW6JnyMjpodB2WoguXLdyPP9ZBY+CRwtR+RvrtEQ==" saltValue="jH0GOViHoMQyqgUG4EsL4A==" spinCount="100000" sheet="1" objects="1" scenarios="1" autoFilter="0" pivotTables="0"/>
  <sortState xmlns:xlrd2="http://schemas.microsoft.com/office/spreadsheetml/2017/richdata2" ref="A27:F30">
    <sortCondition ref="C27:C30"/>
  </sortState>
  <conditionalFormatting sqref="A13:A17 A21:A23 A3 A37 A32:A34 A27:A30 A5:A10">
    <cfRule type="expression" dxfId="979" priority="4">
      <formula>OR(IF($A2="Dag",1))</formula>
    </cfRule>
  </conditionalFormatting>
  <conditionalFormatting sqref="A6:A11 A32:B35 A13:B19 A3:B4 A21:B25 A27:B30 A37:B37">
    <cfRule type="cellIs" dxfId="978" priority="1" operator="equal">
      <formula>"Datum"</formula>
    </cfRule>
    <cfRule type="cellIs" dxfId="977" priority="2" operator="equal">
      <formula>"Dag"</formula>
    </cfRule>
  </conditionalFormatting>
  <conditionalFormatting sqref="A36">
    <cfRule type="expression" dxfId="976" priority="22">
      <formula>OR(IF(#REF!="Dag",1))</formula>
    </cfRule>
  </conditionalFormatting>
  <conditionalFormatting sqref="A18">
    <cfRule type="expression" dxfId="975" priority="215">
      <formula>OR(IF($A14="Dag",1))</formula>
    </cfRule>
  </conditionalFormatting>
  <conditionalFormatting sqref="A1:B2 A5:B5 B6:B11 A12:B12 A20:B20 A26:B26 A31:B31 A36:B36 A38:B1048576">
    <cfRule type="cellIs" dxfId="974" priority="14" operator="equal">
      <formula>"Datum"</formula>
    </cfRule>
    <cfRule type="cellIs" dxfId="973" priority="15" operator="equal">
      <formula>"Dag"</formula>
    </cfRule>
  </conditionalFormatting>
  <conditionalFormatting sqref="B3 B27:B30 B5:B10 B13:B17 B21:B23 B32:B34 B37">
    <cfRule type="expression" dxfId="972" priority="21">
      <formula>OR(IF($B2="Datum",1))</formula>
    </cfRule>
  </conditionalFormatting>
  <conditionalFormatting sqref="B18">
    <cfRule type="expression" dxfId="971" priority="224">
      <formula>OR(IF($B14="Datum",1))</formula>
    </cfRule>
  </conditionalFormatting>
  <conditionalFormatting sqref="C3:E37">
    <cfRule type="expression" dxfId="970" priority="18">
      <formula>OR(IF($E3="Hela hallen",1))</formula>
    </cfRule>
  </conditionalFormatting>
  <conditionalFormatting sqref="L1:T1048576">
    <cfRule type="cellIs" dxfId="969" priority="13" operator="equal">
      <formula>"-"</formula>
    </cfRule>
  </conditionalFormatting>
  <conditionalFormatting sqref="A11">
    <cfRule type="expression" dxfId="968" priority="510">
      <formula>OR(IF($A9="Dag",1))</formula>
    </cfRule>
  </conditionalFormatting>
  <conditionalFormatting sqref="B11">
    <cfRule type="expression" dxfId="967" priority="513">
      <formula>OR(IF($B9="Datum",1))</formula>
    </cfRule>
  </conditionalFormatting>
  <conditionalFormatting sqref="A35 A19 A4 A24:A25">
    <cfRule type="expression" dxfId="966" priority="723">
      <formula>OR(IF(#REF!="Dag",1))</formula>
    </cfRule>
  </conditionalFormatting>
  <conditionalFormatting sqref="B35 B19 B4 B24:B25">
    <cfRule type="expression" dxfId="965" priority="733">
      <formula>OR(IF(#REF!="Datum",1))</formula>
    </cfRule>
  </conditionalFormatting>
  <conditionalFormatting sqref="A26">
    <cfRule type="expression" dxfId="964" priority="822">
      <formula>OR(IF($A24="Dag",1))</formula>
    </cfRule>
  </conditionalFormatting>
  <conditionalFormatting sqref="B26">
    <cfRule type="expression" dxfId="963" priority="823">
      <formula>OR(IF($B24="Datum",1))</formula>
    </cfRule>
  </conditionalFormatting>
  <conditionalFormatting sqref="C3:F37">
    <cfRule type="expression" dxfId="956" priority="2780">
      <formula>OR(IF(#REF!=TRUE,1))</formula>
    </cfRule>
  </conditionalFormatting>
  <conditionalFormatting sqref="A12 A20 A31">
    <cfRule type="expression" dxfId="955" priority="2781">
      <formula>OR(IF(#REF!="Dag",1))</formula>
    </cfRule>
  </conditionalFormatting>
  <conditionalFormatting sqref="B12 B20 B31 B36">
    <cfRule type="expression" dxfId="954" priority="2782">
      <formula>OR(IF(#REF!="Datum",1))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10D3130-179C-4371-8148-24071ABD6691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A13:A17 A21:B23 A3:B3 A37:B37 A32:B34 A27:B30 A5:B10</xm:sqref>
        </x14:conditionalFormatting>
        <x14:conditionalFormatting xmlns:xm="http://schemas.microsoft.com/office/excel/2006/main">
          <x14:cfRule type="expression" priority="214" id="{C10D3130-179C-4371-8148-24071ABD6691}">
            <xm:f>AND(IF(ISERROR(MATCH($B18,Kalenderår!$A$3:$A$17,0)),FALSE,TRUE), IF($B14="Datum",TRUE,FALSE), IF($A14="Dag",TRUE,FALSE))</xm:f>
            <x14:dxf>
              <font>
                <color rgb="FFC00000"/>
              </font>
            </x14:dxf>
          </x14:cfRule>
          <xm:sqref>A18</xm:sqref>
        </x14:conditionalFormatting>
        <x14:conditionalFormatting xmlns:xm="http://schemas.microsoft.com/office/excel/2006/main">
          <x14:cfRule type="expression" priority="17" id="{8B467531-D2EC-42C4-8916-B146FE8C4A4F}">
            <xm:f>AND(IF(ISERROR(MATCH($B13,Kalenderår!$A$3:$A$17,0)),FALSE,TRUE), IF($B12="Datum",TRUE,FALSE), IF($A12="Dag",TRUE,FALSE))</xm:f>
            <x14:dxf>
              <font>
                <color rgb="FFC00000"/>
              </font>
            </x14:dxf>
          </x14:cfRule>
          <xm:sqref>B13:B17</xm:sqref>
        </x14:conditionalFormatting>
        <x14:conditionalFormatting xmlns:xm="http://schemas.microsoft.com/office/excel/2006/main">
          <x14:cfRule type="expression" priority="221" id="{8B467531-D2EC-42C4-8916-B146FE8C4A4F}">
            <xm:f>AND(IF(ISERROR(MATCH($B18,Kalenderår!$A$3:$A$17,0)),FALSE,TRUE), IF($B14="Datum",TRUE,FALSE), IF($A14="Dag",TRUE,FALSE))</xm:f>
            <x14:dxf>
              <font>
                <color rgb="FFC00000"/>
              </font>
            </x14:dxf>
          </x14:cfRule>
          <xm:sqref>B18</xm:sqref>
        </x14:conditionalFormatting>
        <x14:conditionalFormatting xmlns:xm="http://schemas.microsoft.com/office/excel/2006/main">
          <x14:cfRule type="expression" priority="516" id="{C10D3130-179C-4371-8148-24071ABD6691}">
            <xm:f>AND(IF(ISERROR(MATCH($B11,Kalenderår!$A$3:$A$17,0)),FALSE,TRUE), IF($B9="Datum",TRUE,FALSE), IF($A9="Dag",TRUE,FALSE))</xm:f>
            <x14:dxf>
              <font>
                <color rgb="FFC00000"/>
              </font>
            </x14:dxf>
          </x14:cfRule>
          <xm:sqref>A11:B11 A26:B26</xm:sqref>
        </x14:conditionalFormatting>
        <x14:conditionalFormatting xmlns:xm="http://schemas.microsoft.com/office/excel/2006/main">
          <x14:cfRule type="expression" priority="743" id="{C10D3130-179C-4371-8148-24071ABD6691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A35:B35 A19:B19 A4:B4 A24:B25</xm:sqref>
        </x14:conditionalFormatting>
        <x14:conditionalFormatting xmlns:xm="http://schemas.microsoft.com/office/excel/2006/main">
          <x14:cfRule type="expression" priority="2789" id="{8B467531-D2EC-42C4-8916-B146FE8C4A4F}">
            <xm:f>AND(IF(ISERROR(MATCH($B12,Kalenderår!$A$3:$A$17,0)),FALSE,TRUE), IF(#REF!="Datum",TRUE,FALSE), IF(#REF!="Dag",TRUE,FALSE))</xm:f>
            <x14:dxf>
              <font>
                <color rgb="FFC00000"/>
              </font>
            </x14:dxf>
          </x14:cfRule>
          <xm:sqref>A12:B12 A20:B20 A31:B31 A36:B36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DB446DC-6A17-4819-AC25-9B91AA11D265}">
          <x14:formula1>
            <xm:f>Listor!$A$2:$A$150</xm:f>
          </x14:formula1>
          <xm:sqref>E6:E11 E32:E35 E13:E19 E3:E4 E21:E25 E27:E30 E37</xm:sqref>
        </x14:dataValidation>
        <x14:dataValidation type="list" allowBlank="1" showInputMessage="1" showErrorMessage="1" xr:uid="{ADA634AE-C593-41F2-8D44-C2037BB48203}">
          <x14:formula1>
            <xm:f>Kontaktuppgifter!$A$2:$A$300</xm:f>
          </x14:formula1>
          <xm:sqref>F6:F11 F32:F35 F13:F19 F3:F4 F21:F25 F27:F30 F37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1046-D6EE-4D12-A827-4DDBE6076A3A}">
  <sheetPr codeName="Blad11">
    <pageSetUpPr fitToPage="1"/>
  </sheetPr>
  <dimension ref="A1:Y40"/>
  <sheetViews>
    <sheetView showGridLines="0" zoomScaleNormal="100" workbookViewId="0">
      <pane ySplit="2" topLeftCell="A3" activePane="bottomLeft" state="frozen"/>
      <selection activeCell="C19" sqref="C19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Måndag10</f>
        <v>45719</v>
      </c>
      <c r="W1" s="33">
        <f>Söndag10</f>
        <v>45725</v>
      </c>
      <c r="X1" s="34">
        <f>WEEKNUM(Söndag10, 2)</f>
        <v>10</v>
      </c>
      <c r="Y1" s="35" t="str">
        <f>"V. "&amp;X1&amp;", "&amp;TEXT(V1,"D MMM")&amp;"-"&amp;TEXT(W1,"D MMM")</f>
        <v>V. 10, 3 mar-9 mar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Måndag10</f>
        <v>45719</v>
      </c>
      <c r="C3" s="40">
        <v>0.70833333333333337</v>
      </c>
      <c r="D3" s="41">
        <v>0.83333333333333337</v>
      </c>
      <c r="E3" s="42"/>
      <c r="F3" s="43" t="s">
        <v>873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193"/>
      <c r="B4" s="194"/>
      <c r="C4" s="40">
        <v>0.83333333333333337</v>
      </c>
      <c r="D4" s="41">
        <v>0.875</v>
      </c>
      <c r="E4" s="42" t="s">
        <v>86</v>
      </c>
      <c r="F4" s="43" t="s">
        <v>361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s="10" customFormat="1" ht="20.100000000000001" hidden="1" customHeight="1" x14ac:dyDescent="0.3">
      <c r="A5" s="193" t="s">
        <v>0</v>
      </c>
      <c r="B5" s="195" t="s">
        <v>1</v>
      </c>
      <c r="C5" s="44" t="s">
        <v>824</v>
      </c>
      <c r="D5" s="45" t="s">
        <v>2</v>
      </c>
      <c r="E5" s="46" t="s">
        <v>3</v>
      </c>
      <c r="F5" s="47" t="s">
        <v>4</v>
      </c>
    </row>
    <row r="6" spans="1:25" ht="15" customHeight="1" x14ac:dyDescent="0.3">
      <c r="A6" s="193" t="str">
        <f t="shared" ref="A6" si="2">PROPER(TEXT(B6, "dddd"))</f>
        <v>Tisdag</v>
      </c>
      <c r="B6" s="195">
        <f t="shared" ref="B6" si="3">Tisdag10</f>
        <v>45720</v>
      </c>
      <c r="C6" s="40">
        <v>0.33333333333333331</v>
      </c>
      <c r="D6" s="48">
        <v>0.39583333333333331</v>
      </c>
      <c r="E6" s="49"/>
      <c r="F6" s="50" t="s">
        <v>508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/>
      <c r="B7" s="195"/>
      <c r="C7" s="40">
        <v>0.35416666666666669</v>
      </c>
      <c r="D7" s="48">
        <v>0.38541666666666669</v>
      </c>
      <c r="E7" s="49" t="s">
        <v>117</v>
      </c>
      <c r="F7" s="50" t="s">
        <v>453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193"/>
      <c r="B8" s="195"/>
      <c r="C8" s="40">
        <v>0.375</v>
      </c>
      <c r="D8" s="48">
        <v>0.44791666666666669</v>
      </c>
      <c r="E8" s="49" t="s">
        <v>83</v>
      </c>
      <c r="F8" s="50" t="s">
        <v>507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193"/>
      <c r="B9" s="195"/>
      <c r="C9" s="40">
        <v>0.5625</v>
      </c>
      <c r="D9" s="48">
        <v>0.64583333333333337</v>
      </c>
      <c r="E9" s="49"/>
      <c r="F9" s="50" t="s">
        <v>587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0.70833333333333337</v>
      </c>
      <c r="D10" s="48">
        <v>0.83333333333333337</v>
      </c>
      <c r="E10" s="49"/>
      <c r="F10" s="50" t="s">
        <v>873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0.83333333333333337</v>
      </c>
      <c r="D11" s="48">
        <v>0.875</v>
      </c>
      <c r="E11" s="49" t="s">
        <v>78</v>
      </c>
      <c r="F11" s="50" t="s">
        <v>605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/>
      <c r="D12" s="48"/>
      <c r="E12" s="49">
        <v>10</v>
      </c>
      <c r="F12" s="50" t="s">
        <v>714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hidden="1" customHeight="1" x14ac:dyDescent="0.3">
      <c r="A13" s="193" t="s">
        <v>0</v>
      </c>
      <c r="B13" s="195" t="s">
        <v>1</v>
      </c>
      <c r="C13" s="44" t="s">
        <v>824</v>
      </c>
      <c r="D13" s="45" t="s">
        <v>2</v>
      </c>
      <c r="E13" s="46" t="s">
        <v>3</v>
      </c>
      <c r="F13" s="47" t="s">
        <v>4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 t="str">
        <f t="shared" ref="A14" si="4">PROPER(TEXT(B14, "dddd"))</f>
        <v>Onsdag</v>
      </c>
      <c r="B14" s="195">
        <f t="shared" ref="B14" si="5">Onsdag10</f>
        <v>45721</v>
      </c>
      <c r="C14" s="40">
        <v>0.375</v>
      </c>
      <c r="D14" s="48">
        <v>0.45833333333333331</v>
      </c>
      <c r="E14" s="49"/>
      <c r="F14" s="50" t="s">
        <v>737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193"/>
      <c r="B15" s="195"/>
      <c r="C15" s="40">
        <v>0.39583333333333331</v>
      </c>
      <c r="D15" s="48">
        <v>0.5</v>
      </c>
      <c r="E15" s="49" t="s">
        <v>117</v>
      </c>
      <c r="F15" s="50" t="s">
        <v>593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193"/>
      <c r="B16" s="195"/>
      <c r="C16" s="40">
        <v>0.41666666666666669</v>
      </c>
      <c r="D16" s="48">
        <v>0.5</v>
      </c>
      <c r="E16" s="49"/>
      <c r="F16" s="50" t="s">
        <v>643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0.55555555555555558</v>
      </c>
      <c r="D17" s="48">
        <v>0.63888888888888884</v>
      </c>
      <c r="E17" s="49"/>
      <c r="F17" s="50" t="s">
        <v>28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/>
      <c r="B18" s="195"/>
      <c r="C18" s="40">
        <v>0.55555555555555558</v>
      </c>
      <c r="D18" s="48">
        <v>0.63888888888888884</v>
      </c>
      <c r="E18" s="49"/>
      <c r="F18" s="50" t="s">
        <v>776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/>
      <c r="B19" s="195"/>
      <c r="C19" s="40">
        <v>0.70833333333333337</v>
      </c>
      <c r="D19" s="48">
        <v>0.83333333333333337</v>
      </c>
      <c r="E19" s="49"/>
      <c r="F19" s="50" t="s">
        <v>873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/>
      <c r="B20" s="195"/>
      <c r="C20" s="40">
        <v>0.83333333333333337</v>
      </c>
      <c r="D20" s="48">
        <v>0.875</v>
      </c>
      <c r="E20" s="49" t="s">
        <v>87</v>
      </c>
      <c r="F20" s="50" t="s">
        <v>408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hidden="1" customHeight="1" x14ac:dyDescent="0.3">
      <c r="A21" s="193" t="s">
        <v>0</v>
      </c>
      <c r="B21" s="195" t="s">
        <v>1</v>
      </c>
      <c r="C21" s="44" t="s">
        <v>824</v>
      </c>
      <c r="D21" s="45" t="s">
        <v>2</v>
      </c>
      <c r="E21" s="46" t="s">
        <v>3</v>
      </c>
      <c r="F21" s="47" t="s">
        <v>4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193" t="str">
        <f t="shared" ref="A22" si="6">PROPER(TEXT(B22, "dddd"))</f>
        <v>Torsdag</v>
      </c>
      <c r="B22" s="195">
        <f t="shared" ref="B22" si="7">Torsdag10</f>
        <v>45722</v>
      </c>
      <c r="C22" s="40">
        <v>0.375</v>
      </c>
      <c r="D22" s="48">
        <v>0.4375</v>
      </c>
      <c r="E22" s="49" t="s">
        <v>71</v>
      </c>
      <c r="F22" s="50" t="s">
        <v>507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193"/>
      <c r="B23" s="195"/>
      <c r="C23" s="40">
        <v>0.41666666666666669</v>
      </c>
      <c r="D23" s="48">
        <v>0.5</v>
      </c>
      <c r="E23" s="49"/>
      <c r="F23" s="50" t="s">
        <v>238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193"/>
      <c r="B24" s="195"/>
      <c r="C24" s="40">
        <v>0.5625</v>
      </c>
      <c r="D24" s="48">
        <v>0.64583333333333337</v>
      </c>
      <c r="E24" s="49"/>
      <c r="F24" s="50" t="s">
        <v>218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/>
      <c r="B25" s="195"/>
      <c r="C25" s="40">
        <v>0.70833333333333337</v>
      </c>
      <c r="D25" s="48">
        <v>0.83333333333333337</v>
      </c>
      <c r="E25" s="49"/>
      <c r="F25" s="50" t="s">
        <v>873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/>
      <c r="B26" s="195"/>
      <c r="C26" s="40">
        <v>0.83333333333333337</v>
      </c>
      <c r="D26" s="48">
        <v>0.90625</v>
      </c>
      <c r="E26" s="49" t="s">
        <v>92</v>
      </c>
      <c r="F26" s="50" t="s">
        <v>731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hidden="1" customHeight="1" x14ac:dyDescent="0.3">
      <c r="A27" s="193" t="s">
        <v>0</v>
      </c>
      <c r="B27" s="195" t="s">
        <v>1</v>
      </c>
      <c r="C27" s="44" t="s">
        <v>824</v>
      </c>
      <c r="D27" s="45" t="s">
        <v>2</v>
      </c>
      <c r="E27" s="46" t="s">
        <v>3</v>
      </c>
      <c r="F27" s="47" t="s">
        <v>4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193" t="str">
        <f t="shared" ref="A28" si="8">PROPER(TEXT(B28, "dddd"))</f>
        <v>Fredag</v>
      </c>
      <c r="B28" s="195">
        <f t="shared" ref="B28" si="9">Fredag10</f>
        <v>45723</v>
      </c>
      <c r="C28" s="40">
        <v>0.375</v>
      </c>
      <c r="D28" s="48">
        <v>0.4375</v>
      </c>
      <c r="E28" s="49" t="s">
        <v>53</v>
      </c>
      <c r="F28" s="50" t="s">
        <v>507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193"/>
      <c r="B29" s="195"/>
      <c r="C29" s="40">
        <v>0.375</v>
      </c>
      <c r="D29" s="48">
        <v>0.875</v>
      </c>
      <c r="E29" s="49"/>
      <c r="F29" s="50" t="s">
        <v>411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193"/>
      <c r="B30" s="195"/>
      <c r="C30" s="40">
        <v>0.41666666666666669</v>
      </c>
      <c r="D30" s="48">
        <v>0.5</v>
      </c>
      <c r="E30" s="49"/>
      <c r="F30" s="50" t="s">
        <v>629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193"/>
      <c r="B31" s="195"/>
      <c r="C31" s="40">
        <v>0.45833333333333331</v>
      </c>
      <c r="D31" s="48">
        <v>0.54166666666666663</v>
      </c>
      <c r="E31" s="49"/>
      <c r="F31" s="50" t="s">
        <v>800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193"/>
      <c r="B32" s="195"/>
      <c r="C32" s="40">
        <v>0.70833333333333337</v>
      </c>
      <c r="D32" s="48">
        <v>0.83333333333333337</v>
      </c>
      <c r="E32" s="49"/>
      <c r="F32" s="50" t="s">
        <v>873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hidden="1" customHeight="1" x14ac:dyDescent="0.3">
      <c r="A33" s="193" t="s">
        <v>0</v>
      </c>
      <c r="B33" s="195" t="s">
        <v>1</v>
      </c>
      <c r="C33" s="44" t="s">
        <v>824</v>
      </c>
      <c r="D33" s="45" t="s">
        <v>2</v>
      </c>
      <c r="E33" s="46" t="s">
        <v>3</v>
      </c>
      <c r="F33" s="47" t="s">
        <v>4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customHeight="1" x14ac:dyDescent="0.3">
      <c r="A34" s="193" t="str">
        <f t="shared" ref="A34" si="10">PROPER(TEXT(B34, "dddd"))</f>
        <v>Lördag</v>
      </c>
      <c r="B34" s="195">
        <f t="shared" ref="B34" si="11">Lördag10</f>
        <v>45724</v>
      </c>
      <c r="C34" s="40">
        <v>0.33333333333333331</v>
      </c>
      <c r="D34" s="48">
        <v>0.875</v>
      </c>
      <c r="E34" s="49"/>
      <c r="F34" s="50" t="s">
        <v>411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hidden="1" customHeight="1" x14ac:dyDescent="0.3">
      <c r="A35" s="193" t="s">
        <v>0</v>
      </c>
      <c r="B35" s="195" t="s">
        <v>1</v>
      </c>
      <c r="C35" s="44" t="s">
        <v>824</v>
      </c>
      <c r="D35" s="45" t="s">
        <v>2</v>
      </c>
      <c r="E35" s="46" t="s">
        <v>3</v>
      </c>
      <c r="F35" s="47" t="s">
        <v>4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customHeight="1" x14ac:dyDescent="0.3">
      <c r="A36" s="193" t="str">
        <f t="shared" ref="A36" si="12">PROPER(TEXT(B36, "dddd"))</f>
        <v>Söndag</v>
      </c>
      <c r="B36" s="195">
        <f t="shared" ref="B36" si="13">Söndag10</f>
        <v>45725</v>
      </c>
      <c r="C36" s="40">
        <v>0.33333333333333331</v>
      </c>
      <c r="D36" s="48">
        <v>0.79166666666666663</v>
      </c>
      <c r="E36" s="49"/>
      <c r="F36" s="50" t="s">
        <v>411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8" spans="1:24" ht="15" customHeight="1" x14ac:dyDescent="0.3">
      <c r="C38" s="40"/>
      <c r="D38" s="41"/>
    </row>
    <row r="39" spans="1:24" ht="15" customHeight="1" x14ac:dyDescent="0.3">
      <c r="C39" s="40"/>
      <c r="D39" s="8"/>
    </row>
    <row r="40" spans="1:24" ht="15" customHeight="1" x14ac:dyDescent="0.3">
      <c r="C40" s="40"/>
      <c r="D40" s="8"/>
    </row>
  </sheetData>
  <sheetProtection algorithmName="SHA-512" hashValue="8wS7nMAcQO7LQbuGB+YM5QSRE+SacIYTpDBRHBMzHCnF/aBK78HYT1Ji2kaLxG///zN7XM4ZhoFjJUmITrMOHQ==" saltValue="HpaXyB2L7fZmFAvbRGMVfA==" spinCount="100000" sheet="1" objects="1" scenarios="1" autoFilter="0" pivotTables="0"/>
  <sortState xmlns:xlrd2="http://schemas.microsoft.com/office/spreadsheetml/2017/richdata2" ref="A28:F32">
    <sortCondition ref="C28:C32"/>
  </sortState>
  <conditionalFormatting sqref="A22:A26 A28:A32 A6:A10 A3:A4 A20 A34 A36 A12:A18">
    <cfRule type="expression" dxfId="952" priority="4">
      <formula>OR(IF($A2="Dag",1))</formula>
    </cfRule>
  </conditionalFormatting>
  <conditionalFormatting sqref="A28:A32 A3:B4 A14:B20 A22:B26 A34:B34 A36:B36 A6:A12">
    <cfRule type="cellIs" dxfId="951" priority="1" operator="equal">
      <formula>"Datum"</formula>
    </cfRule>
    <cfRule type="cellIs" dxfId="950" priority="2" operator="equal">
      <formula>"Dag"</formula>
    </cfRule>
  </conditionalFormatting>
  <conditionalFormatting sqref="A35">
    <cfRule type="expression" dxfId="949" priority="22">
      <formula>OR(IF(#REF!="Dag",1))</formula>
    </cfRule>
  </conditionalFormatting>
  <conditionalFormatting sqref="A19">
    <cfRule type="expression" dxfId="948" priority="232">
      <formula>OR(IF($A15="Dag",1))</formula>
    </cfRule>
  </conditionalFormatting>
  <conditionalFormatting sqref="A1:B2 A5:B5 A13:B13 A21:B21 A27:B27 B28:B32 A33:B33 A35:B35 A37:B1048576 B6:B12">
    <cfRule type="cellIs" dxfId="947" priority="14" operator="equal">
      <formula>"Datum"</formula>
    </cfRule>
    <cfRule type="cellIs" dxfId="946" priority="15" operator="equal">
      <formula>"Dag"</formula>
    </cfRule>
  </conditionalFormatting>
  <conditionalFormatting sqref="B3:B4 B20 B6:B10 B12:B18 B22:B26 B28:B32 B34 B36">
    <cfRule type="expression" dxfId="945" priority="21">
      <formula>OR(IF($B2="Datum",1))</formula>
    </cfRule>
  </conditionalFormatting>
  <conditionalFormatting sqref="B19">
    <cfRule type="expression" dxfId="944" priority="241">
      <formula>OR(IF($B15="Datum",1))</formula>
    </cfRule>
  </conditionalFormatting>
  <conditionalFormatting sqref="C3:E36">
    <cfRule type="expression" dxfId="943" priority="18">
      <formula>OR(IF($E3="Hela hallen",1))</formula>
    </cfRule>
  </conditionalFormatting>
  <conditionalFormatting sqref="L1:T1048576">
    <cfRule type="cellIs" dxfId="942" priority="13" operator="equal">
      <formula>"-"</formula>
    </cfRule>
  </conditionalFormatting>
  <conditionalFormatting sqref="A11">
    <cfRule type="expression" dxfId="941" priority="518">
      <formula>OR(IF($A9="Dag",1))</formula>
    </cfRule>
  </conditionalFormatting>
  <conditionalFormatting sqref="B11">
    <cfRule type="expression" dxfId="940" priority="521">
      <formula>OR(IF($B9="Datum",1))</formula>
    </cfRule>
  </conditionalFormatting>
  <conditionalFormatting sqref="C3:F36">
    <cfRule type="expression" dxfId="934" priority="2791">
      <formula>OR(IF(#REF!=TRUE,1))</formula>
    </cfRule>
  </conditionalFormatting>
  <conditionalFormatting sqref="A5 A21 A27 A33">
    <cfRule type="expression" dxfId="933" priority="2792">
      <formula>OR(IF(#REF!="Dag",1))</formula>
    </cfRule>
  </conditionalFormatting>
  <conditionalFormatting sqref="B5 B21 B27 B33 B35">
    <cfRule type="expression" dxfId="932" priority="2793">
      <formula>OR(IF(#REF!="Datum",1))</formula>
    </cfRule>
  </conditionalFormatting>
  <printOptions horizontalCentered="1" verticalCentered="1"/>
  <pageMargins left="0.25" right="0.25" top="0.75" bottom="0.75" header="0.3" footer="0.3"/>
  <pageSetup paperSize="8" scale="26" orientation="portrait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0026D19-D373-4D58-A462-F6B6A6EE45A2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A14:A18 A22:A26 A6:B10 A3:B4 A20:B20 A34:B34 A36:B36 A12:B13 A28:B32</xm:sqref>
        </x14:conditionalFormatting>
        <x14:conditionalFormatting xmlns:xm="http://schemas.microsoft.com/office/excel/2006/main">
          <x14:cfRule type="expression" priority="231" id="{A0026D19-D373-4D58-A462-F6B6A6EE45A2}">
            <xm:f>AND(IF(ISERROR(MATCH($B19,Kalenderår!$A$3:$A$17,0)),FALSE,TRUE), IF($B15="Datum",TRUE,FALSE), IF($A15="Dag",TRUE,FALSE))</xm:f>
            <x14:dxf>
              <font>
                <color rgb="FFC00000"/>
              </font>
            </x14:dxf>
          </x14:cfRule>
          <xm:sqref>A19</xm:sqref>
        </x14:conditionalFormatting>
        <x14:conditionalFormatting xmlns:xm="http://schemas.microsoft.com/office/excel/2006/main">
          <x14:cfRule type="expression" priority="17" id="{EAD6F105-F834-48D8-A2AB-4476D4E3090C}">
            <xm:f>AND(IF(ISERROR(MATCH($B14,Kalenderår!$A$3:$A$17,0)),FALSE,TRUE), IF($B13="Datum",TRUE,FALSE), IF($A13="Dag",TRUE,FALSE))</xm:f>
            <x14:dxf>
              <font>
                <color rgb="FFC00000"/>
              </font>
            </x14:dxf>
          </x14:cfRule>
          <xm:sqref>B14:B18 B22:B26</xm:sqref>
        </x14:conditionalFormatting>
        <x14:conditionalFormatting xmlns:xm="http://schemas.microsoft.com/office/excel/2006/main">
          <x14:cfRule type="expression" priority="238" id="{EAD6F105-F834-48D8-A2AB-4476D4E3090C}">
            <xm:f>AND(IF(ISERROR(MATCH($B19,Kalenderår!$A$3:$A$17,0)),FALSE,TRUE), IF($B15="Datum",TRUE,FALSE), IF($A15="Dag",TRUE,FALSE))</xm:f>
            <x14:dxf>
              <font>
                <color rgb="FFC00000"/>
              </font>
            </x14:dxf>
          </x14:cfRule>
          <xm:sqref>B19</xm:sqref>
        </x14:conditionalFormatting>
        <x14:conditionalFormatting xmlns:xm="http://schemas.microsoft.com/office/excel/2006/main">
          <x14:cfRule type="expression" priority="524" id="{A0026D19-D373-4D58-A462-F6B6A6EE45A2}">
            <xm:f>AND(IF(ISERROR(MATCH($B11,Kalenderår!$A$3:$A$17,0)),FALSE,TRUE), IF($B9="Datum",TRUE,FALSE), IF($A9="Dag",TRUE,FALSE))</xm:f>
            <x14:dxf>
              <font>
                <color rgb="FFC00000"/>
              </font>
            </x14:dxf>
          </x14:cfRule>
          <xm:sqref>A11:B11</xm:sqref>
        </x14:conditionalFormatting>
        <x14:conditionalFormatting xmlns:xm="http://schemas.microsoft.com/office/excel/2006/main">
          <x14:cfRule type="expression" priority="2800" id="{EAD6F105-F834-48D8-A2AB-4476D4E3090C}">
            <xm:f>AND(IF(ISERROR(MATCH($B5,Kalenderår!$A$3:$A$17,0)),FALSE,TRUE),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A5:B5 A21:B21 A27:B27 A33:B33 A35:B35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3F19F32-09F2-4A6B-8F28-0F1380ABF976}">
          <x14:formula1>
            <xm:f>Kontaktuppgifter!$A$2:$A$300</xm:f>
          </x14:formula1>
          <xm:sqref>F28:F32 F3:F4 F14:F20 F22:F26 F34 F36 F6:F12</xm:sqref>
        </x14:dataValidation>
        <x14:dataValidation type="list" allowBlank="1" showInputMessage="1" showErrorMessage="1" xr:uid="{77F34E04-9E06-4875-BFE9-AB9B29B40B68}">
          <x14:formula1>
            <xm:f>Listor!$A$2:$A$150</xm:f>
          </x14:formula1>
          <xm:sqref>E28:E32 E3:E4 E14:E20 E22:E26 E34 E36 E6:E12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C71E5-9C42-4FEC-BAB2-A79ABA2611BB}">
  <sheetPr codeName="Blad12">
    <pageSetUpPr fitToPage="1"/>
  </sheetPr>
  <dimension ref="A1:Y41"/>
  <sheetViews>
    <sheetView showGridLines="0" zoomScaleNormal="100" workbookViewId="0">
      <pane ySplit="2" topLeftCell="A18" activePane="bottomLeft" state="frozen"/>
      <selection activeCell="C19" sqref="C19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Måndag11</f>
        <v>45726</v>
      </c>
      <c r="W1" s="33">
        <f>Söndag11</f>
        <v>45732</v>
      </c>
      <c r="X1" s="34">
        <f>WEEKNUM(Söndag11, 2)</f>
        <v>11</v>
      </c>
      <c r="Y1" s="35" t="str">
        <f>"V. "&amp;X1&amp;", "&amp;TEXT(V1,"D MMM")&amp;"-"&amp;TEXT(W1,"D MMM")</f>
        <v>V. 11, 10 mar-16 mar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>PROPER(TEXT(B3, "dddd"))</f>
        <v>Måndag</v>
      </c>
      <c r="B3" s="194">
        <f>Måndag11</f>
        <v>45726</v>
      </c>
      <c r="C3" s="40">
        <v>0.70833333333333337</v>
      </c>
      <c r="D3" s="41">
        <v>0.83333333333333337</v>
      </c>
      <c r="E3" s="42"/>
      <c r="F3" s="43" t="s">
        <v>873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193"/>
      <c r="B4" s="194"/>
      <c r="C4" s="40">
        <v>0.83333333333333337</v>
      </c>
      <c r="D4" s="41">
        <v>0.91666666666666663</v>
      </c>
      <c r="E4" s="42" t="s">
        <v>90</v>
      </c>
      <c r="F4" s="43" t="s">
        <v>777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193"/>
      <c r="B5" s="194"/>
      <c r="C5" s="40">
        <v>0.83333333333333337</v>
      </c>
      <c r="D5" s="41">
        <v>0.875</v>
      </c>
      <c r="E5" s="42" t="s">
        <v>86</v>
      </c>
      <c r="F5" s="43" t="s">
        <v>361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hidden="1" customHeight="1" x14ac:dyDescent="0.3">
      <c r="A6" s="193" t="s">
        <v>0</v>
      </c>
      <c r="B6" s="195" t="s">
        <v>1</v>
      </c>
      <c r="C6" s="44" t="s">
        <v>824</v>
      </c>
      <c r="D6" s="45" t="s">
        <v>2</v>
      </c>
      <c r="E6" s="46" t="s">
        <v>3</v>
      </c>
      <c r="F6" s="47" t="s">
        <v>4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 t="str">
        <f t="shared" ref="A7" si="0">PROPER(TEXT(B7, "dddd"))</f>
        <v>Tisdag</v>
      </c>
      <c r="B7" s="195">
        <f t="shared" ref="B7" si="1">Tisdag11</f>
        <v>45727</v>
      </c>
      <c r="C7" s="40">
        <v>0.33333333333333331</v>
      </c>
      <c r="D7" s="48">
        <v>0.39583333333333331</v>
      </c>
      <c r="E7" s="49"/>
      <c r="F7" s="50" t="s">
        <v>508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193"/>
      <c r="B8" s="195"/>
      <c r="C8" s="40">
        <v>0.375</v>
      </c>
      <c r="D8" s="48">
        <v>0.44791666666666669</v>
      </c>
      <c r="E8" s="49" t="s">
        <v>83</v>
      </c>
      <c r="F8" s="50" t="s">
        <v>507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193"/>
      <c r="B9" s="195"/>
      <c r="C9" s="40">
        <v>0.5625</v>
      </c>
      <c r="D9" s="48">
        <v>0.64583333333333337</v>
      </c>
      <c r="E9" s="49"/>
      <c r="F9" s="50" t="s">
        <v>587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0.70833333333333337</v>
      </c>
      <c r="D10" s="48">
        <v>0.83333333333333337</v>
      </c>
      <c r="E10" s="49"/>
      <c r="F10" s="50" t="s">
        <v>873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0.83333333333333337</v>
      </c>
      <c r="D11" s="48">
        <v>0.91666666666666663</v>
      </c>
      <c r="E11" s="49" t="s">
        <v>90</v>
      </c>
      <c r="F11" s="50" t="s">
        <v>777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0.83333333333333337</v>
      </c>
      <c r="D12" s="48">
        <v>0.875</v>
      </c>
      <c r="E12" s="49" t="s">
        <v>78</v>
      </c>
      <c r="F12" s="50" t="s">
        <v>605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hidden="1" customHeight="1" x14ac:dyDescent="0.3">
      <c r="A13" s="193" t="s">
        <v>0</v>
      </c>
      <c r="B13" s="195" t="s">
        <v>1</v>
      </c>
      <c r="C13" s="44" t="s">
        <v>824</v>
      </c>
      <c r="D13" s="45" t="s">
        <v>2</v>
      </c>
      <c r="E13" s="46" t="s">
        <v>3</v>
      </c>
      <c r="F13" s="47" t="s">
        <v>4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 t="str">
        <f t="shared" ref="A14" si="2">PROPER(TEXT(B14, "dddd"))</f>
        <v>Onsdag</v>
      </c>
      <c r="B14" s="195">
        <f t="shared" ref="B14" si="3">Onsdag11</f>
        <v>45728</v>
      </c>
      <c r="C14" s="40">
        <v>0.375</v>
      </c>
      <c r="D14" s="48">
        <v>0.45833333333333331</v>
      </c>
      <c r="E14" s="49"/>
      <c r="F14" s="50" t="s">
        <v>737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193"/>
      <c r="B15" s="195"/>
      <c r="C15" s="40">
        <v>0.375</v>
      </c>
      <c r="D15" s="48">
        <v>0.44791666666666669</v>
      </c>
      <c r="E15" s="49" t="s">
        <v>94</v>
      </c>
      <c r="F15" s="50" t="s">
        <v>311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193"/>
      <c r="B16" s="195"/>
      <c r="C16" s="40">
        <v>0.41666666666666669</v>
      </c>
      <c r="D16" s="48">
        <v>0.5</v>
      </c>
      <c r="E16" s="49"/>
      <c r="F16" s="50" t="s">
        <v>643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0.55555555555555558</v>
      </c>
      <c r="D17" s="48">
        <v>0.63888888888888884</v>
      </c>
      <c r="E17" s="49"/>
      <c r="F17" s="50" t="s">
        <v>28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/>
      <c r="B18" s="195"/>
      <c r="C18" s="40">
        <v>0.55555555555555558</v>
      </c>
      <c r="D18" s="48">
        <v>0.63888888888888884</v>
      </c>
      <c r="E18" s="49"/>
      <c r="F18" s="50" t="s">
        <v>776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/>
      <c r="B19" s="195"/>
      <c r="C19" s="40">
        <v>0.70833333333333337</v>
      </c>
      <c r="D19" s="48">
        <v>0.83333333333333337</v>
      </c>
      <c r="E19" s="49"/>
      <c r="F19" s="50" t="s">
        <v>873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/>
      <c r="B20" s="195"/>
      <c r="C20" s="40">
        <v>0.83333333333333337</v>
      </c>
      <c r="D20" s="48">
        <v>0.875</v>
      </c>
      <c r="E20" s="49" t="s">
        <v>87</v>
      </c>
      <c r="F20" s="50" t="s">
        <v>408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hidden="1" customHeight="1" x14ac:dyDescent="0.3">
      <c r="A21" s="193" t="s">
        <v>0</v>
      </c>
      <c r="B21" s="195" t="s">
        <v>1</v>
      </c>
      <c r="C21" s="44" t="s">
        <v>824</v>
      </c>
      <c r="D21" s="45" t="s">
        <v>2</v>
      </c>
      <c r="E21" s="46" t="s">
        <v>3</v>
      </c>
      <c r="F21" s="47" t="s">
        <v>4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193" t="str">
        <f t="shared" ref="A22" si="4">PROPER(TEXT(B22, "dddd"))</f>
        <v>Torsdag</v>
      </c>
      <c r="B22" s="195">
        <f t="shared" ref="B22" si="5">Torsdag11</f>
        <v>45729</v>
      </c>
      <c r="C22" s="40">
        <v>0.375</v>
      </c>
      <c r="D22" s="48">
        <v>0.4375</v>
      </c>
      <c r="E22" s="49" t="s">
        <v>71</v>
      </c>
      <c r="F22" s="50" t="s">
        <v>507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193"/>
      <c r="B23" s="195"/>
      <c r="C23" s="40">
        <v>0.41666666666666669</v>
      </c>
      <c r="D23" s="48">
        <v>0.5</v>
      </c>
      <c r="E23" s="49"/>
      <c r="F23" s="50" t="s">
        <v>238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193"/>
      <c r="B24" s="195"/>
      <c r="C24" s="40">
        <v>0.5625</v>
      </c>
      <c r="D24" s="48">
        <v>0.64583333333333337</v>
      </c>
      <c r="E24" s="49"/>
      <c r="F24" s="50" t="s">
        <v>218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/>
      <c r="B25" s="195"/>
      <c r="C25" s="40">
        <v>0.70833333333333337</v>
      </c>
      <c r="D25" s="48">
        <v>0.83333333333333337</v>
      </c>
      <c r="E25" s="49"/>
      <c r="F25" s="50" t="s">
        <v>873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/>
      <c r="B26" s="195"/>
      <c r="C26" s="40">
        <v>0.83333333333333337</v>
      </c>
      <c r="D26" s="48">
        <v>0.90625</v>
      </c>
      <c r="E26" s="49" t="s">
        <v>92</v>
      </c>
      <c r="F26" s="50" t="s">
        <v>731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hidden="1" customHeight="1" x14ac:dyDescent="0.3">
      <c r="A27" s="193" t="s">
        <v>0</v>
      </c>
      <c r="B27" s="195" t="s">
        <v>1</v>
      </c>
      <c r="C27" s="44" t="s">
        <v>824</v>
      </c>
      <c r="D27" s="45" t="s">
        <v>2</v>
      </c>
      <c r="E27" s="46" t="s">
        <v>3</v>
      </c>
      <c r="F27" s="47" t="s">
        <v>4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193" t="str">
        <f>PROPER(TEXT(B28, "dddd"))</f>
        <v>Fredag</v>
      </c>
      <c r="B28" s="195">
        <f>Fredag11</f>
        <v>45730</v>
      </c>
      <c r="C28" s="40">
        <v>0.375</v>
      </c>
      <c r="D28" s="48">
        <v>0.4375</v>
      </c>
      <c r="E28" s="49" t="s">
        <v>53</v>
      </c>
      <c r="F28" s="50" t="s">
        <v>507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193"/>
      <c r="B29" s="195"/>
      <c r="C29" s="40">
        <v>0.41666666666666669</v>
      </c>
      <c r="D29" s="48">
        <v>0.5</v>
      </c>
      <c r="E29" s="49"/>
      <c r="F29" s="50" t="s">
        <v>629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193"/>
      <c r="B30" s="195"/>
      <c r="C30" s="40">
        <v>0.45833333333333331</v>
      </c>
      <c r="D30" s="48">
        <v>0.54166666666666663</v>
      </c>
      <c r="E30" s="49"/>
      <c r="F30" s="50" t="s">
        <v>800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193"/>
      <c r="B31" s="195"/>
      <c r="C31" s="40">
        <v>0.70833333333333337</v>
      </c>
      <c r="D31" s="48">
        <v>0.83333333333333337</v>
      </c>
      <c r="E31" s="49"/>
      <c r="F31" s="50" t="s">
        <v>873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hidden="1" customHeight="1" x14ac:dyDescent="0.3">
      <c r="A32" s="193" t="s">
        <v>0</v>
      </c>
      <c r="B32" s="195" t="s">
        <v>1</v>
      </c>
      <c r="C32" s="44" t="s">
        <v>824</v>
      </c>
      <c r="D32" s="45" t="s">
        <v>2</v>
      </c>
      <c r="E32" s="46" t="s">
        <v>3</v>
      </c>
      <c r="F32" s="47" t="s">
        <v>4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193" t="str">
        <f>PROPER(TEXT(B33, "dddd"))</f>
        <v>Lördag</v>
      </c>
      <c r="B33" s="195">
        <f>Lördag11</f>
        <v>45731</v>
      </c>
      <c r="C33" s="40">
        <v>0.375</v>
      </c>
      <c r="D33" s="48">
        <v>0.625</v>
      </c>
      <c r="E33" s="49"/>
      <c r="F33" s="50" t="s">
        <v>873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customHeight="1" x14ac:dyDescent="0.3">
      <c r="A34" s="193"/>
      <c r="B34" s="195"/>
      <c r="C34" s="40">
        <v>0.625</v>
      </c>
      <c r="D34" s="48">
        <v>0.66666666666666663</v>
      </c>
      <c r="E34" s="49"/>
      <c r="F34" s="50" t="s">
        <v>561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customHeight="1" x14ac:dyDescent="0.3">
      <c r="A35" s="193"/>
      <c r="B35" s="195"/>
      <c r="C35" s="40">
        <v>0.66666666666666663</v>
      </c>
      <c r="D35" s="48">
        <v>0.76041666666666663</v>
      </c>
      <c r="E35" s="49"/>
      <c r="F35" s="50" t="s">
        <v>847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hidden="1" customHeight="1" x14ac:dyDescent="0.3">
      <c r="A36" s="193" t="s">
        <v>0</v>
      </c>
      <c r="B36" s="195" t="s">
        <v>1</v>
      </c>
      <c r="C36" s="44" t="s">
        <v>824</v>
      </c>
      <c r="D36" s="45" t="s">
        <v>2</v>
      </c>
      <c r="E36" s="46" t="s">
        <v>3</v>
      </c>
      <c r="F36" s="47" t="s">
        <v>4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193" t="str">
        <f>PROPER(TEXT(B37, "dddd"))</f>
        <v>Söndag</v>
      </c>
      <c r="B37" s="195">
        <f>Söndag11</f>
        <v>45732</v>
      </c>
      <c r="C37" s="40">
        <v>0.375</v>
      </c>
      <c r="D37" s="48">
        <v>0.79166666666666663</v>
      </c>
      <c r="E37" s="49"/>
      <c r="F37" s="50" t="s">
        <v>873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9" spans="1:24" ht="15" customHeight="1" x14ac:dyDescent="0.3">
      <c r="C39" s="40"/>
      <c r="D39" s="41"/>
    </row>
    <row r="40" spans="1:24" ht="15" customHeight="1" x14ac:dyDescent="0.3">
      <c r="C40" s="40"/>
      <c r="D40" s="8"/>
    </row>
    <row r="41" spans="1:24" ht="15" customHeight="1" x14ac:dyDescent="0.3">
      <c r="C41" s="40"/>
      <c r="D41" s="8"/>
    </row>
  </sheetData>
  <sheetProtection algorithmName="SHA-512" hashValue="N9NkN7OPSOzDI6X7vCXhRg2N3UnxrImabpgzwu3VdGY3wLqeNv8ng/dPNyq9fpXyIL1LzTtm7TWbdb5mJMJQkg==" saltValue="LvAGeOs3IX+/+oJpVvMo1g==" spinCount="100000" sheet="1" objects="1" scenarios="1" autoFilter="0" pivotTables="0"/>
  <sortState xmlns:xlrd2="http://schemas.microsoft.com/office/spreadsheetml/2017/richdata2" ref="A28:F31">
    <sortCondition ref="C28:C31"/>
  </sortState>
  <conditionalFormatting sqref="A14:A18 A22:A25 A28:A30 A33:A34 A37 A3:A4 A7:A11">
    <cfRule type="expression" dxfId="930" priority="4">
      <formula>OR(IF($A2="Dag",1))</formula>
    </cfRule>
  </conditionalFormatting>
  <conditionalFormatting sqref="A28:B31 A33:B35 A37:B37 A22:B26 A7:B12 A14:B20 A3:B5">
    <cfRule type="cellIs" dxfId="929" priority="1" operator="equal">
      <formula>"Datum"</formula>
    </cfRule>
    <cfRule type="cellIs" dxfId="928" priority="2" operator="equal">
      <formula>"Dag"</formula>
    </cfRule>
  </conditionalFormatting>
  <conditionalFormatting sqref="A36">
    <cfRule type="expression" dxfId="927" priority="22">
      <formula>OR(IF(#REF!="Dag",1))</formula>
    </cfRule>
  </conditionalFormatting>
  <conditionalFormatting sqref="A19">
    <cfRule type="expression" dxfId="926" priority="261">
      <formula>OR(IF($A15="Dag",1))</formula>
    </cfRule>
  </conditionalFormatting>
  <conditionalFormatting sqref="A1:B2 A6:B6 A13:B13 A21:B21 A27:B27 A32:B32 A36:B36 A38:B1048576">
    <cfRule type="cellIs" dxfId="925" priority="14" operator="equal">
      <formula>"Datum"</formula>
    </cfRule>
    <cfRule type="cellIs" dxfId="924" priority="15" operator="equal">
      <formula>"Dag"</formula>
    </cfRule>
  </conditionalFormatting>
  <conditionalFormatting sqref="B3:B4 B7:B11 B14:B18 B22:B25 B28:B30 B33:B34 B37">
    <cfRule type="expression" dxfId="923" priority="21">
      <formula>OR(IF($B2="Datum",1))</formula>
    </cfRule>
  </conditionalFormatting>
  <conditionalFormatting sqref="B19">
    <cfRule type="expression" dxfId="922" priority="270">
      <formula>OR(IF($B15="Datum",1))</formula>
    </cfRule>
  </conditionalFormatting>
  <conditionalFormatting sqref="C3:E37">
    <cfRule type="expression" dxfId="921" priority="18">
      <formula>OR(IF($E3="Hela hallen",1))</formula>
    </cfRule>
  </conditionalFormatting>
  <conditionalFormatting sqref="L1:T1048576">
    <cfRule type="cellIs" dxfId="920" priority="13" operator="equal">
      <formula>"-"</formula>
    </cfRule>
  </conditionalFormatting>
  <conditionalFormatting sqref="A12">
    <cfRule type="expression" dxfId="919" priority="526">
      <formula>OR(IF($A11="Dag",1))</formula>
    </cfRule>
  </conditionalFormatting>
  <conditionalFormatting sqref="B12">
    <cfRule type="expression" dxfId="918" priority="528">
      <formula>OR(IF($B11="Datum",1))</formula>
    </cfRule>
  </conditionalFormatting>
  <conditionalFormatting sqref="A31 A35 A26 A5 A20">
    <cfRule type="expression" dxfId="917" priority="745">
      <formula>OR(IF(#REF!="Dag",1))</formula>
    </cfRule>
  </conditionalFormatting>
  <conditionalFormatting sqref="B31 B35 B26 B5 B20">
    <cfRule type="expression" dxfId="916" priority="756">
      <formula>OR(IF(#REF!="Datum",1))</formula>
    </cfRule>
  </conditionalFormatting>
  <conditionalFormatting sqref="C3:F37">
    <cfRule type="expression" dxfId="910" priority="2802">
      <formula>OR(IF(#REF!=TRUE,1))</formula>
    </cfRule>
  </conditionalFormatting>
  <conditionalFormatting sqref="A6 A13 A21 A27 A32">
    <cfRule type="expression" dxfId="909" priority="2803">
      <formula>OR(IF(#REF!="Dag",1))</formula>
    </cfRule>
  </conditionalFormatting>
  <conditionalFormatting sqref="B6 B13 B21 B27 B32 B36">
    <cfRule type="expression" dxfId="908" priority="2805">
      <formula>OR(IF(#REF!="Datum",1))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6D9C333-92C5-4DC8-8236-2CDD7DC9A837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A14:A18 A28:B30 A33:B34 A37:B37 A22:B25 A3:B4 A7:B12</xm:sqref>
        </x14:conditionalFormatting>
        <x14:conditionalFormatting xmlns:xm="http://schemas.microsoft.com/office/excel/2006/main">
          <x14:cfRule type="expression" priority="260" id="{46D9C333-92C5-4DC8-8236-2CDD7DC9A837}">
            <xm:f>AND(IF(ISERROR(MATCH($B19,Kalenderår!$A$3:$A$17,0)),FALSE,TRUE), IF($B15="Datum",TRUE,FALSE), IF($A15="Dag",TRUE,FALSE))</xm:f>
            <x14:dxf>
              <font>
                <color rgb="FFC00000"/>
              </font>
            </x14:dxf>
          </x14:cfRule>
          <xm:sqref>A19</xm:sqref>
        </x14:conditionalFormatting>
        <x14:conditionalFormatting xmlns:xm="http://schemas.microsoft.com/office/excel/2006/main">
          <x14:cfRule type="expression" priority="17" id="{8ABA91B7-66CC-44C3-81BE-DBB2DC3795E7}">
            <xm:f>AND(IF(ISERROR(MATCH($B14,Kalenderår!$A$3:$A$17,0)),FALSE,TRUE), IF($B13="Datum",TRUE,FALSE), IF($A13="Dag",TRUE,FALSE))</xm:f>
            <x14:dxf>
              <font>
                <color rgb="FFC00000"/>
              </font>
            </x14:dxf>
          </x14:cfRule>
          <xm:sqref>B14:B18</xm:sqref>
        </x14:conditionalFormatting>
        <x14:conditionalFormatting xmlns:xm="http://schemas.microsoft.com/office/excel/2006/main">
          <x14:cfRule type="expression" priority="267" id="{8ABA91B7-66CC-44C3-81BE-DBB2DC3795E7}">
            <xm:f>AND(IF(ISERROR(MATCH($B19,Kalenderår!$A$3:$A$17,0)),FALSE,TRUE), IF($B15="Datum",TRUE,FALSE), IF($A15="Dag",TRUE,FALSE))</xm:f>
            <x14:dxf>
              <font>
                <color rgb="FFC00000"/>
              </font>
            </x14:dxf>
          </x14:cfRule>
          <xm:sqref>B19</xm:sqref>
        </x14:conditionalFormatting>
        <x14:conditionalFormatting xmlns:xm="http://schemas.microsoft.com/office/excel/2006/main">
          <x14:cfRule type="expression" priority="766" id="{46D9C333-92C5-4DC8-8236-2CDD7DC9A837}">
            <xm:f>AND(IF(ISERROR(MATCH($B5,Kalenderår!$A$3:$A$17,0)),FALSE,TRUE),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A31:B31 A35:B35 A26:B26 A5:B5 A20:B20</xm:sqref>
        </x14:conditionalFormatting>
        <x14:conditionalFormatting xmlns:xm="http://schemas.microsoft.com/office/excel/2006/main">
          <x14:cfRule type="expression" priority="2812" id="{46D9C333-92C5-4DC8-8236-2CDD7DC9A837}">
            <xm:f>AND(IF(ISERROR(MATCH($B6,Kalenderår!$A$3:$A$17,0)),FALSE,TRUE), IF(#REF!="Datum",TRUE,FALSE), IF(#REF!="Dag",TRUE,FALSE))</xm:f>
            <x14:dxf>
              <font>
                <color rgb="FFC00000"/>
              </font>
            </x14:dxf>
          </x14:cfRule>
          <xm:sqref>A6:B6 A13:B13 A21:B21 A27:B27 A32:B32 A36:B36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57E07A2-C4F1-4B11-9C2E-AEF73B726514}">
          <x14:formula1>
            <xm:f>Listor!$A$2:$A$150</xm:f>
          </x14:formula1>
          <xm:sqref>E28:E31 E33:E35 E37 E22:E26 E7:E12 E14:E20 E3:E5</xm:sqref>
        </x14:dataValidation>
        <x14:dataValidation type="list" allowBlank="1" showInputMessage="1" showErrorMessage="1" xr:uid="{7F13A1BB-E43D-4437-8BE4-DB723B1B2233}">
          <x14:formula1>
            <xm:f>Kontaktuppgifter!$A$2:$A$300</xm:f>
          </x14:formula1>
          <xm:sqref>F28:F31 F33:F35 F37 F22:F26 F7:F12 F14:F20 F3:F5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C47C-31C9-40B6-B9C6-3832F9A93B38}">
  <sheetPr codeName="Blad13">
    <pageSetUpPr fitToPage="1"/>
  </sheetPr>
  <dimension ref="A1:Y41"/>
  <sheetViews>
    <sheetView showGridLines="0" zoomScaleNormal="100" workbookViewId="0">
      <pane ySplit="2" topLeftCell="A27" activePane="bottomLeft" state="frozen"/>
      <selection activeCell="C19" sqref="C19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60" style="8" customWidth="1"/>
    <col min="8" max="8" width="13.6640625" style="32" customWidth="1"/>
    <col min="9" max="9" width="30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Måndag12</f>
        <v>45733</v>
      </c>
      <c r="W1" s="33">
        <f>Söndag12</f>
        <v>45739</v>
      </c>
      <c r="X1" s="34">
        <f>WEEKNUM(Söndag12, 2)</f>
        <v>12</v>
      </c>
      <c r="Y1" s="35" t="str">
        <f>"V. "&amp;X1&amp;", "&amp;TEXT(V1,"D MMM")&amp;"-"&amp;TEXT(W1,"D MMM")</f>
        <v>V. 12, 17 mar-23 mar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Måndag12</f>
        <v>45733</v>
      </c>
      <c r="C3" s="40">
        <v>0.70833333333333337</v>
      </c>
      <c r="D3" s="41">
        <v>0.83333333333333337</v>
      </c>
      <c r="E3" s="42"/>
      <c r="F3" s="43" t="s">
        <v>873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193"/>
      <c r="B4" s="194"/>
      <c r="C4" s="40">
        <v>0.83333333333333337</v>
      </c>
      <c r="D4" s="41">
        <v>0.875</v>
      </c>
      <c r="E4" s="42" t="s">
        <v>86</v>
      </c>
      <c r="F4" s="43" t="s">
        <v>361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s="10" customFormat="1" ht="20.100000000000001" hidden="1" customHeight="1" x14ac:dyDescent="0.3">
      <c r="A5" s="193" t="s">
        <v>0</v>
      </c>
      <c r="B5" s="195" t="s">
        <v>1</v>
      </c>
      <c r="C5" s="44" t="s">
        <v>824</v>
      </c>
      <c r="D5" s="45" t="s">
        <v>2</v>
      </c>
      <c r="E5" s="46" t="s">
        <v>3</v>
      </c>
      <c r="F5" s="47" t="s">
        <v>4</v>
      </c>
    </row>
    <row r="6" spans="1:25" ht="15" customHeight="1" x14ac:dyDescent="0.3">
      <c r="A6" s="193" t="str">
        <f t="shared" ref="A6" si="2">PROPER(TEXT(B6, "dddd"))</f>
        <v>Tisdag</v>
      </c>
      <c r="B6" s="195">
        <f t="shared" ref="B6" si="3">Tisdag12</f>
        <v>45734</v>
      </c>
      <c r="C6" s="40">
        <v>0.33333333333333331</v>
      </c>
      <c r="D6" s="48">
        <v>0.39583333333333331</v>
      </c>
      <c r="E6" s="49"/>
      <c r="F6" s="50" t="s">
        <v>508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/>
      <c r="B7" s="195"/>
      <c r="C7" s="40">
        <v>0.375</v>
      </c>
      <c r="D7" s="48">
        <v>0.44791666666666669</v>
      </c>
      <c r="E7" s="49" t="s">
        <v>83</v>
      </c>
      <c r="F7" s="50" t="s">
        <v>507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193"/>
      <c r="B8" s="195"/>
      <c r="C8" s="40">
        <v>0.5625</v>
      </c>
      <c r="D8" s="48">
        <v>0.64583333333333337</v>
      </c>
      <c r="E8" s="49"/>
      <c r="F8" s="50" t="s">
        <v>587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193"/>
      <c r="B9" s="195"/>
      <c r="C9" s="40">
        <v>0.70833333333333337</v>
      </c>
      <c r="D9" s="48">
        <v>0.83333333333333337</v>
      </c>
      <c r="E9" s="49"/>
      <c r="F9" s="50" t="s">
        <v>873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0.83333333333333337</v>
      </c>
      <c r="D10" s="48">
        <v>0.875</v>
      </c>
      <c r="E10" s="49" t="s">
        <v>88</v>
      </c>
      <c r="F10" s="50" t="s">
        <v>886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s="10" customFormat="1" ht="20.100000000000001" hidden="1" customHeight="1" x14ac:dyDescent="0.3">
      <c r="A11" s="193" t="s">
        <v>0</v>
      </c>
      <c r="B11" s="195" t="s">
        <v>1</v>
      </c>
      <c r="C11" s="44" t="s">
        <v>824</v>
      </c>
      <c r="D11" s="45" t="s">
        <v>2</v>
      </c>
      <c r="E11" s="46" t="s">
        <v>3</v>
      </c>
      <c r="F11" s="47" t="s">
        <v>4</v>
      </c>
    </row>
    <row r="12" spans="1:25" ht="15" customHeight="1" x14ac:dyDescent="0.3">
      <c r="A12" s="193" t="str">
        <f t="shared" ref="A12" si="4">PROPER(TEXT(B12, "dddd"))</f>
        <v>Onsdag</v>
      </c>
      <c r="B12" s="195">
        <f t="shared" ref="B12" si="5">Onsdag12</f>
        <v>45735</v>
      </c>
      <c r="C12" s="40">
        <v>0.375</v>
      </c>
      <c r="D12" s="48">
        <v>0.45833333333333331</v>
      </c>
      <c r="E12" s="49"/>
      <c r="F12" s="50" t="s">
        <v>737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0.375</v>
      </c>
      <c r="D13" s="48">
        <v>0.44791666666666669</v>
      </c>
      <c r="E13" s="49">
        <v>35</v>
      </c>
      <c r="F13" s="50" t="s">
        <v>311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/>
      <c r="B14" s="195"/>
      <c r="C14" s="40">
        <v>0.41666666666666669</v>
      </c>
      <c r="D14" s="48">
        <v>0.5</v>
      </c>
      <c r="E14" s="49"/>
      <c r="F14" s="50" t="s">
        <v>643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193"/>
      <c r="B15" s="195"/>
      <c r="C15" s="40">
        <v>0.55555555555555558</v>
      </c>
      <c r="D15" s="48">
        <v>0.63888888888888884</v>
      </c>
      <c r="E15" s="49"/>
      <c r="F15" s="50" t="s">
        <v>28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193"/>
      <c r="B16" s="195"/>
      <c r="C16" s="40">
        <v>0.55555555555555558</v>
      </c>
      <c r="D16" s="48">
        <v>0.63888888888888884</v>
      </c>
      <c r="E16" s="49"/>
      <c r="F16" s="50" t="s">
        <v>776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0.70833333333333337</v>
      </c>
      <c r="D17" s="48">
        <v>0.83333333333333337</v>
      </c>
      <c r="E17" s="49"/>
      <c r="F17" s="50" t="s">
        <v>873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/>
      <c r="B18" s="195"/>
      <c r="C18" s="40">
        <v>0.83333333333333337</v>
      </c>
      <c r="D18" s="48">
        <v>0.875</v>
      </c>
      <c r="E18" s="49" t="s">
        <v>87</v>
      </c>
      <c r="F18" s="50" t="s">
        <v>408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hidden="1" customHeight="1" x14ac:dyDescent="0.3">
      <c r="A19" s="193" t="s">
        <v>0</v>
      </c>
      <c r="B19" s="195" t="s">
        <v>1</v>
      </c>
      <c r="C19" s="44" t="s">
        <v>824</v>
      </c>
      <c r="D19" s="45" t="s">
        <v>2</v>
      </c>
      <c r="E19" s="46" t="s">
        <v>3</v>
      </c>
      <c r="F19" s="47" t="s">
        <v>4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 t="str">
        <f t="shared" ref="A20" si="6">PROPER(TEXT(B20, "dddd"))</f>
        <v>Torsdag</v>
      </c>
      <c r="B20" s="195">
        <f t="shared" ref="B20" si="7">Torsdag12</f>
        <v>45736</v>
      </c>
      <c r="C20" s="40">
        <v>0.375</v>
      </c>
      <c r="D20" s="48">
        <v>0.4375</v>
      </c>
      <c r="E20" s="49" t="s">
        <v>71</v>
      </c>
      <c r="F20" s="50" t="s">
        <v>507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193"/>
      <c r="B21" s="195"/>
      <c r="C21" s="40">
        <v>0.41666666666666669</v>
      </c>
      <c r="D21" s="48">
        <v>0.5</v>
      </c>
      <c r="E21" s="49"/>
      <c r="F21" s="50" t="s">
        <v>238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193"/>
      <c r="B22" s="195"/>
      <c r="C22" s="40">
        <v>0.5625</v>
      </c>
      <c r="D22" s="48">
        <v>0.64583333333333337</v>
      </c>
      <c r="E22" s="49"/>
      <c r="F22" s="50" t="s">
        <v>218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193"/>
      <c r="B23" s="195"/>
      <c r="C23" s="40">
        <v>0.70833333333333337</v>
      </c>
      <c r="D23" s="48">
        <v>0.83333333333333337</v>
      </c>
      <c r="E23" s="49"/>
      <c r="F23" s="50" t="s">
        <v>873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193"/>
      <c r="B24" s="195"/>
      <c r="C24" s="40">
        <v>0.77083333333333337</v>
      </c>
      <c r="D24" s="48">
        <v>0.85416666666666663</v>
      </c>
      <c r="E24" s="49"/>
      <c r="F24" s="50" t="s">
        <v>852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hidden="1" customHeight="1" x14ac:dyDescent="0.3">
      <c r="A25" s="193" t="s">
        <v>0</v>
      </c>
      <c r="B25" s="195" t="s">
        <v>1</v>
      </c>
      <c r="C25" s="44" t="s">
        <v>824</v>
      </c>
      <c r="D25" s="45" t="s">
        <v>2</v>
      </c>
      <c r="E25" s="46" t="s">
        <v>3</v>
      </c>
      <c r="F25" s="47" t="s">
        <v>4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 t="str">
        <f t="shared" ref="A26" si="8">PROPER(TEXT(B26, "dddd"))</f>
        <v>Fredag</v>
      </c>
      <c r="B26" s="195">
        <f t="shared" ref="B26" si="9">Fredag12</f>
        <v>45737</v>
      </c>
      <c r="C26" s="40">
        <v>0.375</v>
      </c>
      <c r="D26" s="48">
        <v>0.4375</v>
      </c>
      <c r="E26" s="49" t="s">
        <v>53</v>
      </c>
      <c r="F26" s="50" t="s">
        <v>507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193"/>
      <c r="B27" s="195"/>
      <c r="C27" s="40">
        <v>0.41666666666666669</v>
      </c>
      <c r="D27" s="48">
        <v>0.5</v>
      </c>
      <c r="E27" s="49"/>
      <c r="F27" s="50" t="s">
        <v>629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193"/>
      <c r="B28" s="195"/>
      <c r="C28" s="40">
        <v>0.45833333333333331</v>
      </c>
      <c r="D28" s="48">
        <v>0.54166666666666663</v>
      </c>
      <c r="E28" s="49"/>
      <c r="F28" s="50" t="s">
        <v>800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193"/>
      <c r="B29" s="195"/>
      <c r="C29" s="40">
        <v>0.70833333333333337</v>
      </c>
      <c r="D29" s="48">
        <v>0.83333333333333337</v>
      </c>
      <c r="E29" s="49"/>
      <c r="F29" s="50" t="s">
        <v>873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hidden="1" customHeight="1" x14ac:dyDescent="0.3">
      <c r="A30" s="193" t="s">
        <v>0</v>
      </c>
      <c r="B30" s="195" t="s">
        <v>1</v>
      </c>
      <c r="C30" s="44" t="s">
        <v>824</v>
      </c>
      <c r="D30" s="45" t="s">
        <v>2</v>
      </c>
      <c r="E30" s="46" t="s">
        <v>3</v>
      </c>
      <c r="F30" s="47" t="s">
        <v>4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193" t="str">
        <f t="shared" ref="A31" si="10">PROPER(TEXT(B31, "dddd"))</f>
        <v>Lördag</v>
      </c>
      <c r="B31" s="195">
        <f t="shared" ref="B31" si="11">Lördag12</f>
        <v>45738</v>
      </c>
      <c r="C31" s="40">
        <v>0.375</v>
      </c>
      <c r="D31" s="48">
        <v>0.625</v>
      </c>
      <c r="E31" s="49"/>
      <c r="F31" s="50" t="s">
        <v>873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193"/>
      <c r="B32" s="195"/>
      <c r="C32" s="40">
        <v>0.58333333333333337</v>
      </c>
      <c r="D32" s="48">
        <v>0.625</v>
      </c>
      <c r="E32" s="49">
        <v>8</v>
      </c>
      <c r="F32" s="50" t="s">
        <v>865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193"/>
      <c r="B33" s="195"/>
      <c r="C33" s="40">
        <v>0.625</v>
      </c>
      <c r="D33" s="48">
        <v>0.66666666666666663</v>
      </c>
      <c r="E33" s="49"/>
      <c r="F33" s="50" t="s">
        <v>561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customHeight="1" x14ac:dyDescent="0.3">
      <c r="A34" s="193"/>
      <c r="B34" s="195"/>
      <c r="C34" s="40">
        <v>0.67708333333333337</v>
      </c>
      <c r="D34" s="48">
        <v>0.80208333333333337</v>
      </c>
      <c r="E34" s="49"/>
      <c r="F34" s="50" t="s">
        <v>833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hidden="1" customHeight="1" x14ac:dyDescent="0.3">
      <c r="A35" s="193" t="s">
        <v>0</v>
      </c>
      <c r="B35" s="195" t="s">
        <v>1</v>
      </c>
      <c r="C35" s="44" t="s">
        <v>824</v>
      </c>
      <c r="D35" s="45" t="s">
        <v>2</v>
      </c>
      <c r="E35" s="46" t="s">
        <v>3</v>
      </c>
      <c r="F35" s="47" t="s">
        <v>4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customHeight="1" x14ac:dyDescent="0.3">
      <c r="A36" s="193" t="str">
        <f t="shared" ref="A36" si="12">PROPER(TEXT(B36, "dddd"))</f>
        <v>Söndag</v>
      </c>
      <c r="B36" s="195">
        <f t="shared" ref="B36" si="13">Söndag12</f>
        <v>45739</v>
      </c>
      <c r="C36" s="40">
        <v>0.39583333333333331</v>
      </c>
      <c r="D36" s="48">
        <v>0.54166666666666663</v>
      </c>
      <c r="E36" s="49"/>
      <c r="F36" s="50" t="s">
        <v>686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193"/>
      <c r="B37" s="195"/>
      <c r="C37" s="40">
        <v>0.54166666666666663</v>
      </c>
      <c r="D37" s="48">
        <v>0.79166666666666663</v>
      </c>
      <c r="E37" s="49"/>
      <c r="F37" s="50" t="s">
        <v>873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9" spans="1:24" ht="15" customHeight="1" x14ac:dyDescent="0.3">
      <c r="C39" s="40"/>
      <c r="D39" s="41"/>
    </row>
    <row r="40" spans="1:24" ht="15" customHeight="1" x14ac:dyDescent="0.3">
      <c r="C40" s="40"/>
      <c r="D40" s="8"/>
    </row>
    <row r="41" spans="1:24" ht="15" customHeight="1" x14ac:dyDescent="0.3">
      <c r="C41" s="40"/>
      <c r="D41" s="8"/>
    </row>
  </sheetData>
  <sheetProtection algorithmName="SHA-512" hashValue="o12jXxQ/Zc10HqCl0coAsuUmh1pexlHzC8y3dDyCo4qi32W6rKjIAiO7yPz5WU5o+t1P/SVXt/cgUAUBwAicTQ==" saltValue="jVB13STbCp1ZZXsVucIP8Q==" spinCount="100000" sheet="1" objects="1" scenarios="1" autoFilter="0" pivotTables="0"/>
  <sortState xmlns:xlrd2="http://schemas.microsoft.com/office/spreadsheetml/2017/richdata2" ref="A26:F29">
    <sortCondition ref="C26:C29"/>
  </sortState>
  <conditionalFormatting sqref="A12:A17 A26:A29 A31:A34 A36:A37 A4 A6 A8:A9 A19:A21 A23">
    <cfRule type="expression" dxfId="906" priority="5">
      <formula>OR(IF($A3="Dag",1))</formula>
    </cfRule>
  </conditionalFormatting>
  <conditionalFormatting sqref="A26:A29 A31:A34 A12:A18 A36:B37 A3:B4 A6:B10 A20:B24">
    <cfRule type="cellIs" dxfId="905" priority="2" operator="equal">
      <formula>"Datum"</formula>
    </cfRule>
    <cfRule type="cellIs" dxfId="904" priority="3" operator="equal">
      <formula>"Dag"</formula>
    </cfRule>
  </conditionalFormatting>
  <conditionalFormatting sqref="A35">
    <cfRule type="expression" dxfId="903" priority="23">
      <formula>OR(IF(#REF!="Dag",1))</formula>
    </cfRule>
  </conditionalFormatting>
  <conditionalFormatting sqref="A10 A18">
    <cfRule type="expression" dxfId="902" priority="279">
      <formula>OR(IF($A8="Dag",1))</formula>
    </cfRule>
  </conditionalFormatting>
  <conditionalFormatting sqref="A24">
    <cfRule type="expression" dxfId="901" priority="291">
      <formula>OR(IF($A21="Dag",1))</formula>
    </cfRule>
  </conditionalFormatting>
  <conditionalFormatting sqref="A1:B2 A5:B5 A11:B11 A19:B19 A25:B25 B26:B29 A30:B30 B31:B34 A35:B35 A38:B1048576 B12:B18">
    <cfRule type="cellIs" dxfId="900" priority="15" operator="equal">
      <formula>"Datum"</formula>
    </cfRule>
    <cfRule type="cellIs" dxfId="899" priority="16" operator="equal">
      <formula>"Dag"</formula>
    </cfRule>
  </conditionalFormatting>
  <conditionalFormatting sqref="B4 B6 B8:B9 B12:B17 B19:B21 B23 B26:B29 B31:B34 B36:B37">
    <cfRule type="expression" dxfId="898" priority="22">
      <formula>OR(IF($B3="Datum",1))</formula>
    </cfRule>
  </conditionalFormatting>
  <conditionalFormatting sqref="B10 B18">
    <cfRule type="expression" dxfId="897" priority="283">
      <formula>OR(IF($B8="Datum",1))</formula>
    </cfRule>
  </conditionalFormatting>
  <conditionalFormatting sqref="B24">
    <cfRule type="expression" dxfId="896" priority="300">
      <formula>OR(IF($B21="Datum",1))</formula>
    </cfRule>
  </conditionalFormatting>
  <conditionalFormatting sqref="C3:E37">
    <cfRule type="expression" dxfId="895" priority="19">
      <formula>OR(IF($E3="Hela hallen",1))</formula>
    </cfRule>
  </conditionalFormatting>
  <conditionalFormatting sqref="L1:T1048576">
    <cfRule type="cellIs" dxfId="894" priority="14" operator="equal">
      <formula>"-"</formula>
    </cfRule>
  </conditionalFormatting>
  <conditionalFormatting sqref="A3 A5 A7 A11 A22 A25 A30">
    <cfRule type="expression" dxfId="890" priority="2814">
      <formula>OR(IF(#REF!="Dag",1))</formula>
    </cfRule>
  </conditionalFormatting>
  <conditionalFormatting sqref="B3 B5 B7 B11 B22 B25 B30 B35">
    <cfRule type="expression" dxfId="889" priority="2825">
      <formula>OR(IF(#REF!="Datum",1))</formula>
    </cfRule>
  </conditionalFormatting>
  <conditionalFormatting sqref="C3:F37">
    <cfRule type="expression" dxfId="887" priority="2837">
      <formula>OR(IF(#REF!=TRUE,1))</formula>
    </cfRule>
  </conditionalFormatting>
  <printOptions horizontalCentered="1" verticalCentered="1"/>
  <pageMargins left="0.25" right="0.25" top="0.75" bottom="0.75" header="0.3" footer="0.3"/>
  <pageSetup paperSize="9" scale="24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17261DA-695E-43CE-A2DB-305976285C0B}">
            <xm:f>AND(IF(ISERROR(MATCH($B4,Kalenderår!$A$3:$A$17,0)),FALSE,TRUE), IF($B3="Datum",TRUE,FALSE), IF($A3="Dag",TRUE,FALSE))</xm:f>
            <x14:dxf>
              <font>
                <color rgb="FFC00000"/>
              </font>
            </x14:dxf>
          </x14:cfRule>
          <xm:sqref>A12:A17 A36:B37 A4:B4 A6:B6 A8:B9 A19:B21 A23:B23 A26:B29 A31:B34</xm:sqref>
        </x14:conditionalFormatting>
        <x14:conditionalFormatting xmlns:xm="http://schemas.microsoft.com/office/excel/2006/main">
          <x14:cfRule type="expression" priority="278" id="{117261DA-695E-43CE-A2DB-305976285C0B}">
            <xm:f>AND(IF(ISERROR(MATCH($B10,Kalenderår!$A$3:$A$17,0)),FALSE,TRUE), IF($B8="Datum",TRUE,FALSE), IF($A8="Dag",TRUE,FALSE))</xm:f>
            <x14:dxf>
              <font>
                <color rgb="FFC00000"/>
              </font>
            </x14:dxf>
          </x14:cfRule>
          <xm:sqref>A10:B10 A18:B18</xm:sqref>
        </x14:conditionalFormatting>
        <x14:conditionalFormatting xmlns:xm="http://schemas.microsoft.com/office/excel/2006/main">
          <x14:cfRule type="expression" priority="18" id="{84CAEBA6-69E2-429E-AA08-A0BFEA340FCC}">
            <xm:f>AND(IF(ISERROR(MATCH($B12,Kalenderår!$A$3:$A$17,0)),FALSE,TRUE), IF($B11="Datum",TRUE,FALSE), IF($A11="Dag",TRUE,FALSE))</xm:f>
            <x14:dxf>
              <font>
                <color rgb="FFC00000"/>
              </font>
            </x14:dxf>
          </x14:cfRule>
          <xm:sqref>B12:B17</xm:sqref>
        </x14:conditionalFormatting>
        <x14:conditionalFormatting xmlns:xm="http://schemas.microsoft.com/office/excel/2006/main">
          <x14:cfRule type="expression" priority="2835" id="{117261DA-695E-43CE-A2DB-305976285C0B}">
            <xm:f>AND(IF(ISERROR(MATCH($B3,Kalenderår!$A$3:$A$17,0)),FALSE,TRUE), IF(#REF!="Datum",TRUE,FALSE), IF(#REF!="Dag",TRUE,FALSE))</xm:f>
            <x14:dxf>
              <font>
                <color rgb="FFC00000"/>
              </font>
            </x14:dxf>
          </x14:cfRule>
          <xm:sqref>A3:B3 A5:B5 A7:B7 A11:B11 A22:B22 A25:B25 A30:B30 A35:B35</xm:sqref>
        </x14:conditionalFormatting>
        <x14:conditionalFormatting xmlns:xm="http://schemas.microsoft.com/office/excel/2006/main">
          <x14:cfRule type="expression" priority="2858" id="{117261DA-695E-43CE-A2DB-305976285C0B}">
            <xm:f>AND(IF(ISERROR(MATCH($B24,Kalenderår!$A$3:$A$17,0)),FALSE,TRUE), IF($B21="Datum",TRUE,FALSE), IF($A21="Dag",TRUE,FALSE))</xm:f>
            <x14:dxf>
              <font>
                <color rgb="FFC00000"/>
              </font>
            </x14:dxf>
          </x14:cfRule>
          <xm:sqref>A24:B24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E665250-0483-4AC8-AE32-4F994B72A6E5}">
          <x14:formula1>
            <xm:f>Kontaktuppgifter!$A$2:$A$300</xm:f>
          </x14:formula1>
          <xm:sqref>F26:F29 F31:F34 F12:F18 F36:F37 F3:F4 F6:F10 F20:F24</xm:sqref>
        </x14:dataValidation>
        <x14:dataValidation type="list" allowBlank="1" showInputMessage="1" showErrorMessage="1" xr:uid="{08F51644-77CA-4209-B92F-E99DF265701C}">
          <x14:formula1>
            <xm:f>Listor!$A$2:$A$150</xm:f>
          </x14:formula1>
          <xm:sqref>E26:E29 E31:E34 E12:E18 E36:E37 E3:E4 E6:E10 E20:E24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FD6F5-D7DA-4A6E-8E21-D048771282C4}">
  <sheetPr codeName="Blad14">
    <pageSetUpPr fitToPage="1"/>
  </sheetPr>
  <dimension ref="A1:Y45"/>
  <sheetViews>
    <sheetView showGridLines="0" zoomScaleNormal="100" workbookViewId="0">
      <pane ySplit="2" topLeftCell="A26" activePane="bottomLeft" state="frozen"/>
      <selection activeCell="C19" sqref="C19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8.88671875" style="8" bestFit="1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Måndag13</f>
        <v>45740</v>
      </c>
      <c r="W1" s="33">
        <f>Söndag13</f>
        <v>45746</v>
      </c>
      <c r="X1" s="34">
        <f>WEEKNUM(Söndag13, 2)</f>
        <v>13</v>
      </c>
      <c r="Y1" s="35" t="str">
        <f>"V. "&amp;X1&amp;", "&amp;TEXT(V1,"D MMM")&amp;"-"&amp;TEXT(W1,"D MMM")</f>
        <v>V. 13, 24 mar-30 mar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Måndag13</f>
        <v>45740</v>
      </c>
      <c r="C3" s="40">
        <v>0.5</v>
      </c>
      <c r="D3" s="41">
        <v>0.54166666666666663</v>
      </c>
      <c r="E3" s="42">
        <v>2</v>
      </c>
      <c r="F3" s="43" t="s">
        <v>556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193"/>
      <c r="B4" s="194"/>
      <c r="C4" s="40">
        <v>0.60416666666666663</v>
      </c>
      <c r="D4" s="41">
        <v>0.64583333333333337</v>
      </c>
      <c r="E4" s="42" t="s">
        <v>90</v>
      </c>
      <c r="F4" s="43" t="s">
        <v>541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193"/>
      <c r="B5" s="194"/>
      <c r="C5" s="40">
        <v>0.6875</v>
      </c>
      <c r="D5" s="41">
        <v>0.72916666666666663</v>
      </c>
      <c r="E5" s="42">
        <v>8</v>
      </c>
      <c r="F5" s="43" t="s">
        <v>353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4"/>
      <c r="C6" s="40">
        <v>0.70833333333333337</v>
      </c>
      <c r="D6" s="41">
        <v>0.83333333333333337</v>
      </c>
      <c r="E6" s="42"/>
      <c r="F6" s="43" t="s">
        <v>873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/>
      <c r="B7" s="194"/>
      <c r="C7" s="40">
        <v>0.83333333333333337</v>
      </c>
      <c r="D7" s="41">
        <v>0.875</v>
      </c>
      <c r="E7" s="42" t="s">
        <v>86</v>
      </c>
      <c r="F7" s="43" t="s">
        <v>361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hidden="1" customHeight="1" x14ac:dyDescent="0.3">
      <c r="A8" s="193" t="s">
        <v>0</v>
      </c>
      <c r="B8" s="195" t="s">
        <v>1</v>
      </c>
      <c r="C8" s="44" t="s">
        <v>824</v>
      </c>
      <c r="D8" s="45" t="s">
        <v>2</v>
      </c>
      <c r="E8" s="46" t="s">
        <v>3</v>
      </c>
      <c r="F8" s="47" t="s">
        <v>4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193" t="str">
        <f t="shared" ref="A9" si="2">PROPER(TEXT(B9, "dddd"))</f>
        <v>Tisdag</v>
      </c>
      <c r="B9" s="195">
        <f t="shared" ref="B9" si="3">Tisdag13</f>
        <v>45741</v>
      </c>
      <c r="C9" s="40">
        <v>0.33333333333333331</v>
      </c>
      <c r="D9" s="48">
        <v>0.39583333333333331</v>
      </c>
      <c r="E9" s="49"/>
      <c r="F9" s="50" t="s">
        <v>508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0.375</v>
      </c>
      <c r="D10" s="48">
        <v>0.44791666666666669</v>
      </c>
      <c r="E10" s="49" t="s">
        <v>83</v>
      </c>
      <c r="F10" s="50" t="s">
        <v>507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0.45833333333333331</v>
      </c>
      <c r="D11" s="48">
        <v>0.52083333333333337</v>
      </c>
      <c r="E11" s="49">
        <v>2</v>
      </c>
      <c r="F11" s="50" t="s">
        <v>556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0.5625</v>
      </c>
      <c r="D12" s="48">
        <v>0.64583333333333337</v>
      </c>
      <c r="E12" s="49"/>
      <c r="F12" s="50" t="s">
        <v>587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s="10" customFormat="1" ht="15" customHeight="1" x14ac:dyDescent="0.3">
      <c r="A13" s="193"/>
      <c r="B13" s="195"/>
      <c r="C13" s="40">
        <v>0.70833333333333337</v>
      </c>
      <c r="D13" s="48">
        <v>0.83333333333333337</v>
      </c>
      <c r="E13" s="49"/>
      <c r="F13" s="50" t="s">
        <v>873</v>
      </c>
    </row>
    <row r="14" spans="1:25" ht="15" customHeight="1" x14ac:dyDescent="0.3">
      <c r="A14" s="193"/>
      <c r="B14" s="195"/>
      <c r="C14" s="40">
        <v>0.83333333333333337</v>
      </c>
      <c r="D14" s="48">
        <v>0.875</v>
      </c>
      <c r="E14" s="49" t="s">
        <v>88</v>
      </c>
      <c r="F14" s="50" t="s">
        <v>886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hidden="1" customHeight="1" x14ac:dyDescent="0.3">
      <c r="A15" s="193" t="s">
        <v>0</v>
      </c>
      <c r="B15" s="195" t="s">
        <v>1</v>
      </c>
      <c r="C15" s="44" t="s">
        <v>824</v>
      </c>
      <c r="D15" s="45" t="s">
        <v>2</v>
      </c>
      <c r="E15" s="46" t="s">
        <v>3</v>
      </c>
      <c r="F15" s="47" t="s">
        <v>4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193" t="str">
        <f t="shared" ref="A16" si="4">PROPER(TEXT(B16, "dddd"))</f>
        <v>Onsdag</v>
      </c>
      <c r="B16" s="195">
        <f t="shared" ref="B16" si="5">Onsdag13</f>
        <v>45742</v>
      </c>
      <c r="C16" s="40">
        <v>0.375</v>
      </c>
      <c r="D16" s="48">
        <v>0.45833333333333331</v>
      </c>
      <c r="E16" s="49"/>
      <c r="F16" s="50" t="s">
        <v>737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0.375</v>
      </c>
      <c r="D17" s="48">
        <v>0.45833333333333331</v>
      </c>
      <c r="E17" s="49" t="s">
        <v>117</v>
      </c>
      <c r="F17" s="50" t="s">
        <v>453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/>
      <c r="B18" s="195"/>
      <c r="C18" s="40">
        <v>0.41666666666666669</v>
      </c>
      <c r="D18" s="48">
        <v>0.5</v>
      </c>
      <c r="E18" s="49"/>
      <c r="F18" s="50" t="s">
        <v>643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/>
      <c r="B19" s="195"/>
      <c r="C19" s="40">
        <v>0.55555555555555558</v>
      </c>
      <c r="D19" s="48">
        <v>0.63888888888888884</v>
      </c>
      <c r="E19" s="49"/>
      <c r="F19" s="50" t="s">
        <v>28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/>
      <c r="B20" s="195"/>
      <c r="C20" s="40">
        <v>0.55555555555555558</v>
      </c>
      <c r="D20" s="48">
        <v>0.63888888888888884</v>
      </c>
      <c r="E20" s="49"/>
      <c r="F20" s="50" t="s">
        <v>776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s="10" customFormat="1" ht="15" customHeight="1" x14ac:dyDescent="0.3">
      <c r="A21" s="193"/>
      <c r="B21" s="195"/>
      <c r="C21" s="40">
        <v>0.70833333333333337</v>
      </c>
      <c r="D21" s="48">
        <v>0.83333333333333337</v>
      </c>
      <c r="E21" s="49"/>
      <c r="F21" s="50" t="s">
        <v>873</v>
      </c>
    </row>
    <row r="22" spans="1:24" ht="15" customHeight="1" x14ac:dyDescent="0.3">
      <c r="A22" s="193"/>
      <c r="B22" s="195"/>
      <c r="C22" s="40">
        <v>0.83333333333333337</v>
      </c>
      <c r="D22" s="48">
        <v>0.91666666666666663</v>
      </c>
      <c r="E22" s="49" t="s">
        <v>87</v>
      </c>
      <c r="F22" s="50" t="s">
        <v>408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hidden="1" customHeight="1" x14ac:dyDescent="0.3">
      <c r="A23" s="193" t="s">
        <v>0</v>
      </c>
      <c r="B23" s="195" t="s">
        <v>1</v>
      </c>
      <c r="C23" s="44" t="s">
        <v>824</v>
      </c>
      <c r="D23" s="45" t="s">
        <v>2</v>
      </c>
      <c r="E23" s="46" t="s">
        <v>3</v>
      </c>
      <c r="F23" s="47" t="s">
        <v>4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193" t="str">
        <f t="shared" ref="A24" si="6">PROPER(TEXT(B24, "dddd"))</f>
        <v>Torsdag</v>
      </c>
      <c r="B24" s="195">
        <f t="shared" ref="B24" si="7">Torsdag13</f>
        <v>45743</v>
      </c>
      <c r="C24" s="40">
        <v>0.375</v>
      </c>
      <c r="D24" s="48">
        <v>0.4375</v>
      </c>
      <c r="E24" s="49" t="s">
        <v>71</v>
      </c>
      <c r="F24" s="50" t="s">
        <v>507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/>
      <c r="B25" s="195"/>
      <c r="C25" s="40">
        <v>0.41666666666666669</v>
      </c>
      <c r="D25" s="48">
        <v>0.5</v>
      </c>
      <c r="E25" s="49"/>
      <c r="F25" s="50" t="s">
        <v>238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/>
      <c r="B26" s="195"/>
      <c r="C26" s="40">
        <v>0.4375</v>
      </c>
      <c r="D26" s="48">
        <v>0.52083333333333337</v>
      </c>
      <c r="E26" s="49" t="s">
        <v>117</v>
      </c>
      <c r="F26" s="50" t="s">
        <v>442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s="10" customFormat="1" ht="15" customHeight="1" x14ac:dyDescent="0.3">
      <c r="A27" s="193"/>
      <c r="B27" s="195"/>
      <c r="C27" s="40">
        <v>0.5625</v>
      </c>
      <c r="D27" s="48">
        <v>0.64583333333333337</v>
      </c>
      <c r="E27" s="49"/>
      <c r="F27" s="50" t="s">
        <v>218</v>
      </c>
    </row>
    <row r="28" spans="1:24" ht="15" customHeight="1" x14ac:dyDescent="0.3">
      <c r="A28" s="193"/>
      <c r="B28" s="195"/>
      <c r="C28" s="40">
        <v>0.70833333333333337</v>
      </c>
      <c r="D28" s="48">
        <v>0.83333333333333337</v>
      </c>
      <c r="E28" s="49"/>
      <c r="F28" s="50" t="s">
        <v>873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193"/>
      <c r="B29" s="195"/>
      <c r="C29" s="40">
        <v>0.83333333333333337</v>
      </c>
      <c r="D29" s="48">
        <v>0.875</v>
      </c>
      <c r="E29" s="49" t="s">
        <v>88</v>
      </c>
      <c r="F29" s="50" t="s">
        <v>853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hidden="1" customHeight="1" x14ac:dyDescent="0.3">
      <c r="A30" s="193" t="s">
        <v>0</v>
      </c>
      <c r="B30" s="195" t="s">
        <v>1</v>
      </c>
      <c r="C30" s="44" t="s">
        <v>824</v>
      </c>
      <c r="D30" s="45" t="s">
        <v>2</v>
      </c>
      <c r="E30" s="46" t="s">
        <v>3</v>
      </c>
      <c r="F30" s="47" t="s">
        <v>4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193" t="str">
        <f t="shared" ref="A31" si="8">PROPER(TEXT(B31, "dddd"))</f>
        <v>Fredag</v>
      </c>
      <c r="B31" s="195">
        <f t="shared" ref="B31" si="9">Fredag13</f>
        <v>45744</v>
      </c>
      <c r="C31" s="40">
        <v>0.375</v>
      </c>
      <c r="D31" s="48">
        <v>0.4375</v>
      </c>
      <c r="E31" s="49" t="s">
        <v>53</v>
      </c>
      <c r="F31" s="50" t="s">
        <v>507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193"/>
      <c r="B32" s="195"/>
      <c r="C32" s="40">
        <v>0.41666666666666669</v>
      </c>
      <c r="D32" s="48">
        <v>0.5</v>
      </c>
      <c r="E32" s="49"/>
      <c r="F32" s="50" t="s">
        <v>629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s="10" customFormat="1" ht="15" customHeight="1" x14ac:dyDescent="0.3">
      <c r="A33" s="193"/>
      <c r="B33" s="195"/>
      <c r="C33" s="40">
        <v>0.45833333333333331</v>
      </c>
      <c r="D33" s="48">
        <v>0.54166666666666663</v>
      </c>
      <c r="E33" s="49"/>
      <c r="F33" s="50" t="s">
        <v>800</v>
      </c>
    </row>
    <row r="34" spans="1:24" ht="15" customHeight="1" x14ac:dyDescent="0.3">
      <c r="A34" s="193"/>
      <c r="B34" s="195"/>
      <c r="C34" s="40">
        <v>0.45833333333333331</v>
      </c>
      <c r="D34" s="48">
        <v>0.5</v>
      </c>
      <c r="E34" s="49" t="s">
        <v>87</v>
      </c>
      <c r="F34" s="50" t="s">
        <v>541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customHeight="1" x14ac:dyDescent="0.3">
      <c r="A35" s="193"/>
      <c r="B35" s="195"/>
      <c r="C35" s="40">
        <v>0.70833333333333337</v>
      </c>
      <c r="D35" s="48">
        <v>0.83333333333333337</v>
      </c>
      <c r="E35" s="49"/>
      <c r="F35" s="50" t="s">
        <v>873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hidden="1" customHeight="1" x14ac:dyDescent="0.3">
      <c r="A36" s="193" t="s">
        <v>0</v>
      </c>
      <c r="B36" s="195" t="s">
        <v>1</v>
      </c>
      <c r="C36" s="44" t="s">
        <v>824</v>
      </c>
      <c r="D36" s="45" t="s">
        <v>2</v>
      </c>
      <c r="E36" s="46" t="s">
        <v>3</v>
      </c>
      <c r="F36" s="47" t="s">
        <v>4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193" t="str">
        <f t="shared" ref="A37" si="10">PROPER(TEXT(B37, "dddd"))</f>
        <v>Lördag</v>
      </c>
      <c r="B37" s="195">
        <f t="shared" ref="B37" si="11">Lördag13</f>
        <v>45745</v>
      </c>
      <c r="C37" s="40">
        <v>0.375</v>
      </c>
      <c r="D37" s="48">
        <v>0.625</v>
      </c>
      <c r="E37" s="49"/>
      <c r="F37" s="50" t="s">
        <v>873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8" spans="1:24" s="10" customFormat="1" ht="15" customHeight="1" x14ac:dyDescent="0.3">
      <c r="A38" s="193"/>
      <c r="B38" s="195"/>
      <c r="C38" s="40">
        <v>0.41666666666666669</v>
      </c>
      <c r="D38" s="48">
        <v>0.75</v>
      </c>
      <c r="E38" s="49" t="s">
        <v>72</v>
      </c>
      <c r="F38" s="50" t="s">
        <v>838</v>
      </c>
    </row>
    <row r="39" spans="1:24" ht="15" customHeight="1" x14ac:dyDescent="0.3">
      <c r="A39" s="193"/>
      <c r="B39" s="195"/>
      <c r="C39" s="40">
        <v>0.77083333333333337</v>
      </c>
      <c r="D39" s="48">
        <v>0.83333333333333337</v>
      </c>
      <c r="E39" s="49">
        <v>10</v>
      </c>
      <c r="F39" s="50" t="s">
        <v>874</v>
      </c>
      <c r="G39"/>
      <c r="H39" s="1"/>
      <c r="I39" s="1"/>
      <c r="L39"/>
      <c r="M39"/>
      <c r="N39"/>
      <c r="O39"/>
      <c r="P39"/>
      <c r="Q39"/>
      <c r="R39"/>
      <c r="S39"/>
      <c r="T39"/>
      <c r="V39"/>
      <c r="W39"/>
      <c r="X39"/>
    </row>
    <row r="40" spans="1:24" ht="15" hidden="1" customHeight="1" x14ac:dyDescent="0.3">
      <c r="A40" s="193" t="s">
        <v>0</v>
      </c>
      <c r="B40" s="195" t="s">
        <v>1</v>
      </c>
      <c r="C40" s="44" t="s">
        <v>824</v>
      </c>
      <c r="D40" s="45" t="s">
        <v>2</v>
      </c>
      <c r="E40" s="46" t="s">
        <v>3</v>
      </c>
      <c r="F40" s="47" t="s">
        <v>4</v>
      </c>
      <c r="G40"/>
      <c r="H40" s="1"/>
      <c r="I40" s="1"/>
      <c r="L40"/>
      <c r="M40"/>
      <c r="N40"/>
      <c r="O40"/>
      <c r="P40"/>
      <c r="Q40"/>
      <c r="R40"/>
      <c r="S40"/>
      <c r="T40"/>
      <c r="V40"/>
      <c r="W40"/>
      <c r="X40"/>
    </row>
    <row r="41" spans="1:24" ht="15" customHeight="1" x14ac:dyDescent="0.3">
      <c r="A41" s="193" t="str">
        <f t="shared" ref="A41" si="12">PROPER(TEXT(B41, "dddd"))</f>
        <v>Söndag</v>
      </c>
      <c r="B41" s="195">
        <f t="shared" ref="B41" si="13">Söndag13</f>
        <v>45746</v>
      </c>
      <c r="C41" s="40">
        <v>0.375</v>
      </c>
      <c r="D41" s="48">
        <v>0.79166666666666663</v>
      </c>
      <c r="E41" s="49"/>
      <c r="F41" s="50" t="s">
        <v>873</v>
      </c>
      <c r="G41"/>
      <c r="H41" s="1"/>
      <c r="I41" s="1"/>
      <c r="L41"/>
      <c r="M41"/>
      <c r="N41"/>
      <c r="O41"/>
      <c r="P41"/>
      <c r="Q41"/>
      <c r="R41"/>
      <c r="S41"/>
      <c r="T41"/>
      <c r="V41"/>
      <c r="W41"/>
      <c r="X41"/>
    </row>
    <row r="43" spans="1:24" ht="15" customHeight="1" x14ac:dyDescent="0.3">
      <c r="C43" s="40"/>
      <c r="D43" s="41"/>
    </row>
    <row r="44" spans="1:24" ht="15" customHeight="1" x14ac:dyDescent="0.3">
      <c r="C44" s="40"/>
      <c r="D44" s="8"/>
    </row>
    <row r="45" spans="1:24" ht="15" customHeight="1" x14ac:dyDescent="0.3">
      <c r="C45" s="40"/>
      <c r="D45" s="8"/>
    </row>
  </sheetData>
  <sheetProtection algorithmName="SHA-512" hashValue="koL15a5NYvsPCfQpqUpJGeM7FCsvlM17JZx+LBZhJ2EbrKCIYtqJeF0npN2RKZs/0wq6LGXAteLUk+FCSSK/5Q==" saltValue="4RthR7Xpei8iPqdFI0wieQ==" spinCount="100000" sheet="1" objects="1" scenarios="1" autoFilter="0" pivotTables="0"/>
  <sortState xmlns:xlrd2="http://schemas.microsoft.com/office/spreadsheetml/2017/richdata2" ref="A31:F35">
    <sortCondition ref="C31:C35"/>
  </sortState>
  <conditionalFormatting sqref="A16:A21 A13:A14 A41 A3 A5:A9 A11 A24:A26 A29:A35 A38:A39">
    <cfRule type="expression" dxfId="885" priority="8">
      <formula>OR(IF($A2="Dag",1))</formula>
    </cfRule>
  </conditionalFormatting>
  <conditionalFormatting sqref="A16:A22 A31:A35 A41:B41 A3:B7 A9:B14 A24:B29 A37:B39">
    <cfRule type="cellIs" dxfId="884" priority="5" operator="equal">
      <formula>"Datum"</formula>
    </cfRule>
    <cfRule type="cellIs" dxfId="883" priority="6" operator="equal">
      <formula>"Dag"</formula>
    </cfRule>
  </conditionalFormatting>
  <conditionalFormatting sqref="A40">
    <cfRule type="expression" dxfId="882" priority="26">
      <formula>OR(IF(#REF!="Dag",1))</formula>
    </cfRule>
  </conditionalFormatting>
  <conditionalFormatting sqref="A22 A12 A15">
    <cfRule type="expression" dxfId="881" priority="323">
      <formula>OR(IF($A10="Dag",1))</formula>
    </cfRule>
  </conditionalFormatting>
  <conditionalFormatting sqref="A1:B2 A8:B8 A15:B15 B16:B22 A23:B23 A30:B30 B31:B35 A36:B36 A40:B40 A42:B1048576">
    <cfRule type="cellIs" dxfId="880" priority="18" operator="equal">
      <formula>"Datum"</formula>
    </cfRule>
    <cfRule type="cellIs" dxfId="879" priority="19" operator="equal">
      <formula>"Dag"</formula>
    </cfRule>
  </conditionalFormatting>
  <conditionalFormatting sqref="B16:B21 B13:B14 B3 B5:B9 B11 B24:B26 B29:B35 B38:B39 B41">
    <cfRule type="expression" dxfId="878" priority="25">
      <formula>OR(IF($B2="Datum",1))</formula>
    </cfRule>
  </conditionalFormatting>
  <conditionalFormatting sqref="B22 B12 B15">
    <cfRule type="expression" dxfId="877" priority="327">
      <formula>OR(IF($B10="Datum",1))</formula>
    </cfRule>
  </conditionalFormatting>
  <conditionalFormatting sqref="C3:E5 C7:E41">
    <cfRule type="expression" dxfId="876" priority="22">
      <formula>OR(IF($E3="Hela hallen",1))</formula>
    </cfRule>
  </conditionalFormatting>
  <conditionalFormatting sqref="L1:T1 L42:T1048576">
    <cfRule type="cellIs" dxfId="875" priority="17" operator="equal">
      <formula>"-"</formula>
    </cfRule>
  </conditionalFormatting>
  <conditionalFormatting sqref="C6:E6">
    <cfRule type="expression" dxfId="874" priority="2">
      <formula>OR(IF($E6="Hela hallen",1))</formula>
    </cfRule>
  </conditionalFormatting>
  <conditionalFormatting sqref="A4 A10 A23 A27:A28 A36:A37">
    <cfRule type="expression" dxfId="869" priority="2860">
      <formula>OR(IF(#REF!="Dag",1))</formula>
    </cfRule>
  </conditionalFormatting>
  <conditionalFormatting sqref="B4 B10 B23 B27:B28 B36:B37 B40">
    <cfRule type="expression" dxfId="868" priority="2871">
      <formula>OR(IF(#REF!="Datum",1))</formula>
    </cfRule>
  </conditionalFormatting>
  <conditionalFormatting sqref="C3:F41">
    <cfRule type="expression" dxfId="866" priority="2882">
      <formula>OR(IF(#REF!=TRUE,1))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0EF6F8E-1FB9-4CE4-993A-1CD92147312E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A16:A21 A41:B41 A3:B3 A11:B11 A5:B9 A13:B14 A24:B26 A29:B35 A38:B39</xm:sqref>
        </x14:conditionalFormatting>
        <x14:conditionalFormatting xmlns:xm="http://schemas.microsoft.com/office/excel/2006/main">
          <x14:cfRule type="expression" priority="322" id="{40EF6F8E-1FB9-4CE4-993A-1CD92147312E}">
            <xm:f>AND(IF(ISERROR(MATCH($B12,Kalenderår!$A$3:$A$17,0)),FALSE,TRUE), IF($B10="Datum",TRUE,FALSE), IF($A10="Dag",TRUE,FALSE))</xm:f>
            <x14:dxf>
              <font>
                <color rgb="FFC00000"/>
              </font>
            </x14:dxf>
          </x14:cfRule>
          <xm:sqref>A22 A12:B12 A15:B15</xm:sqref>
        </x14:conditionalFormatting>
        <x14:conditionalFormatting xmlns:xm="http://schemas.microsoft.com/office/excel/2006/main">
          <x14:cfRule type="expression" priority="21" id="{ABACADEF-9D0D-4B6D-BB2B-0049921BBDDE}">
            <xm:f>AND(IF(ISERROR(MATCH($B16,Kalenderår!$A$3:$A$17,0)),FALSE,TRUE), IF($B15="Datum",TRUE,FALSE), IF($A15="Dag",TRUE,FALSE))</xm:f>
            <x14:dxf>
              <font>
                <color rgb="FFC00000"/>
              </font>
            </x14:dxf>
          </x14:cfRule>
          <xm:sqref>B16:B21</xm:sqref>
        </x14:conditionalFormatting>
        <x14:conditionalFormatting xmlns:xm="http://schemas.microsoft.com/office/excel/2006/main">
          <x14:cfRule type="expression" priority="325" id="{ABACADEF-9D0D-4B6D-BB2B-0049921BBDDE}">
            <xm:f>AND(IF(ISERROR(MATCH($B22,Kalenderår!$A$3:$A$17,0)),FALSE,TRUE), IF($B20="Datum",TRUE,FALSE), IF($A20="Dag",TRUE,FALSE))</xm:f>
            <x14:dxf>
              <font>
                <color rgb="FFC00000"/>
              </font>
            </x14:dxf>
          </x14:cfRule>
          <xm:sqref>B22</xm:sqref>
        </x14:conditionalFormatting>
        <x14:conditionalFormatting xmlns:xm="http://schemas.microsoft.com/office/excel/2006/main">
          <x14:cfRule type="expression" priority="2880" id="{40EF6F8E-1FB9-4CE4-993A-1CD92147312E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A10:B10 A23:B23 A27:B28 A36:B37 A40:B40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D4DD58-5368-429E-B208-7401A2AB45A0}">
          <x14:formula1>
            <xm:f>Listor!$A$2:$A$150</xm:f>
          </x14:formula1>
          <xm:sqref>E16:E22 E31:E35 E41 E3:E7 E9:E14 E24:E29 E37:E39</xm:sqref>
        </x14:dataValidation>
        <x14:dataValidation type="list" allowBlank="1" showInputMessage="1" showErrorMessage="1" xr:uid="{7F44CFA4-3429-4D77-8D25-E99E6CF4B8AD}">
          <x14:formula1>
            <xm:f>Kontaktuppgifter!$A$2:$A$300</xm:f>
          </x14:formula1>
          <xm:sqref>F16:F22 F31:F35 F41 F3:F7 F9:F14 F24:F29 F37:F39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8CFDA-DFF9-47DB-BAF5-4F8CD5F6AD83}">
  <sheetPr codeName="Blad15">
    <pageSetUpPr fitToPage="1"/>
  </sheetPr>
  <dimension ref="A1:Y47"/>
  <sheetViews>
    <sheetView showGridLines="0" zoomScaleNormal="100" workbookViewId="0">
      <pane ySplit="2" topLeftCell="A23" activePane="bottomLeft" state="frozen"/>
      <selection activeCell="C19" sqref="C19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6.441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Måndag14</f>
        <v>45747</v>
      </c>
      <c r="W1" s="33">
        <f>Söndag14</f>
        <v>45753</v>
      </c>
      <c r="X1" s="34">
        <f>WEEKNUM(Söndag14, 2)</f>
        <v>14</v>
      </c>
      <c r="Y1" s="35" t="str">
        <f>"V. "&amp;X1&amp;", "&amp;TEXT(V1,"D MMM")&amp;"-"&amp;TEXT(W1,"D MMM")</f>
        <v>V. 14, 31 mar-6 apr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Måndag14</f>
        <v>45747</v>
      </c>
      <c r="C3" s="40">
        <v>0.54166666666666663</v>
      </c>
      <c r="D3" s="41">
        <v>0.58333333333333337</v>
      </c>
      <c r="E3" s="42" t="s">
        <v>72</v>
      </c>
      <c r="F3" s="43" t="s">
        <v>578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193"/>
      <c r="B4" s="194"/>
      <c r="C4" s="40">
        <v>0.5625</v>
      </c>
      <c r="D4" s="41">
        <v>0.59375</v>
      </c>
      <c r="E4" s="42" t="s">
        <v>77</v>
      </c>
      <c r="F4" s="43" t="s">
        <v>453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193"/>
      <c r="B5" s="194"/>
      <c r="C5" s="40">
        <v>0.58333333333333337</v>
      </c>
      <c r="D5" s="41">
        <v>0.625</v>
      </c>
      <c r="E5" s="42">
        <v>50</v>
      </c>
      <c r="F5" s="43" t="s">
        <v>716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4"/>
      <c r="C6" s="40">
        <v>0.70833333333333337</v>
      </c>
      <c r="D6" s="41">
        <v>0.83333333333333337</v>
      </c>
      <c r="E6" s="42"/>
      <c r="F6" s="43" t="s">
        <v>873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s="10" customFormat="1" ht="15" customHeight="1" x14ac:dyDescent="0.3">
      <c r="A7" s="193"/>
      <c r="B7" s="194"/>
      <c r="C7" s="40">
        <v>0.83333333333333337</v>
      </c>
      <c r="D7" s="41">
        <v>0.875</v>
      </c>
      <c r="E7" s="42" t="s">
        <v>86</v>
      </c>
      <c r="F7" s="43" t="s">
        <v>361</v>
      </c>
    </row>
    <row r="8" spans="1:25" ht="15" hidden="1" customHeight="1" x14ac:dyDescent="0.3">
      <c r="A8" s="193" t="s">
        <v>0</v>
      </c>
      <c r="B8" s="195" t="s">
        <v>1</v>
      </c>
      <c r="C8" s="44" t="s">
        <v>824</v>
      </c>
      <c r="D8" s="45" t="s">
        <v>2</v>
      </c>
      <c r="E8" s="46" t="s">
        <v>3</v>
      </c>
      <c r="F8" s="47" t="s">
        <v>4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193" t="str">
        <f t="shared" ref="A9" si="2">PROPER(TEXT(B9, "dddd"))</f>
        <v>Tisdag</v>
      </c>
      <c r="B9" s="195">
        <f t="shared" ref="B9" si="3">Tisdag14</f>
        <v>45748</v>
      </c>
      <c r="C9" s="40">
        <v>0.33333333333333331</v>
      </c>
      <c r="D9" s="48">
        <v>0.39583333333333331</v>
      </c>
      <c r="E9" s="49"/>
      <c r="F9" s="50" t="s">
        <v>508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0.33333333333333331</v>
      </c>
      <c r="D10" s="48">
        <v>0.375</v>
      </c>
      <c r="E10" s="49" t="s">
        <v>89</v>
      </c>
      <c r="F10" s="50" t="s">
        <v>792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0.34375</v>
      </c>
      <c r="D11" s="48">
        <v>0.38541666666666669</v>
      </c>
      <c r="E11" s="49">
        <v>45</v>
      </c>
      <c r="F11" s="50" t="s">
        <v>541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0.375</v>
      </c>
      <c r="D12" s="48">
        <v>0.44791666666666669</v>
      </c>
      <c r="E12" s="49" t="s">
        <v>83</v>
      </c>
      <c r="F12" s="50" t="s">
        <v>507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0.39583333333333331</v>
      </c>
      <c r="D13" s="48">
        <v>0.4375</v>
      </c>
      <c r="E13" s="49" t="s">
        <v>89</v>
      </c>
      <c r="F13" s="50" t="s">
        <v>792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15" customHeight="1" x14ac:dyDescent="0.3">
      <c r="A14" s="193"/>
      <c r="B14" s="195"/>
      <c r="C14" s="40">
        <v>0.5625</v>
      </c>
      <c r="D14" s="48">
        <v>0.64583333333333337</v>
      </c>
      <c r="E14" s="49"/>
      <c r="F14" s="50" t="s">
        <v>587</v>
      </c>
    </row>
    <row r="15" spans="1:25" ht="15" customHeight="1" x14ac:dyDescent="0.3">
      <c r="A15" s="193"/>
      <c r="B15" s="195"/>
      <c r="C15" s="40">
        <v>0.70833333333333337</v>
      </c>
      <c r="D15" s="48">
        <v>0.83333333333333337</v>
      </c>
      <c r="E15" s="49"/>
      <c r="F15" s="50" t="s">
        <v>873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hidden="1" customHeight="1" x14ac:dyDescent="0.3">
      <c r="A16" s="193" t="s">
        <v>0</v>
      </c>
      <c r="B16" s="195" t="s">
        <v>1</v>
      </c>
      <c r="C16" s="44" t="s">
        <v>824</v>
      </c>
      <c r="D16" s="45" t="s">
        <v>2</v>
      </c>
      <c r="E16" s="46" t="s">
        <v>3</v>
      </c>
      <c r="F16" s="47" t="s">
        <v>4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 t="str">
        <f t="shared" ref="A17" si="4">PROPER(TEXT(B17, "dddd"))</f>
        <v>Onsdag</v>
      </c>
      <c r="B17" s="195">
        <f t="shared" ref="B17" si="5">Onsdag14</f>
        <v>45749</v>
      </c>
      <c r="C17" s="40">
        <v>0.33333333333333331</v>
      </c>
      <c r="D17" s="48">
        <v>0.375</v>
      </c>
      <c r="E17" s="49" t="s">
        <v>72</v>
      </c>
      <c r="F17" s="50" t="s">
        <v>578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/>
      <c r="B18" s="195"/>
      <c r="C18" s="40">
        <v>0.375</v>
      </c>
      <c r="D18" s="48">
        <v>0.45833333333333331</v>
      </c>
      <c r="E18" s="49"/>
      <c r="F18" s="50" t="s">
        <v>737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/>
      <c r="B19" s="195"/>
      <c r="C19" s="40">
        <v>0.41666666666666669</v>
      </c>
      <c r="D19" s="48">
        <v>0.5</v>
      </c>
      <c r="E19" s="49"/>
      <c r="F19" s="50" t="s">
        <v>643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/>
      <c r="B20" s="195"/>
      <c r="C20" s="40">
        <v>0.55555555555555558</v>
      </c>
      <c r="D20" s="48">
        <v>0.63888888888888884</v>
      </c>
      <c r="E20" s="49"/>
      <c r="F20" s="50" t="s">
        <v>28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s="10" customFormat="1" ht="15" customHeight="1" x14ac:dyDescent="0.3">
      <c r="A21" s="193"/>
      <c r="B21" s="195"/>
      <c r="C21" s="40">
        <v>0.55555555555555558</v>
      </c>
      <c r="D21" s="48">
        <v>0.63888888888888884</v>
      </c>
      <c r="E21" s="49"/>
      <c r="F21" s="50" t="s">
        <v>776</v>
      </c>
    </row>
    <row r="22" spans="1:24" ht="15" customHeight="1" x14ac:dyDescent="0.3">
      <c r="A22" s="193"/>
      <c r="B22" s="195"/>
      <c r="C22" s="40">
        <v>0.70833333333333337</v>
      </c>
      <c r="D22" s="48">
        <v>0.83333333333333337</v>
      </c>
      <c r="E22" s="49"/>
      <c r="F22" s="50" t="s">
        <v>873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193"/>
      <c r="B23" s="195"/>
      <c r="C23" s="40">
        <v>0.75</v>
      </c>
      <c r="D23" s="48">
        <v>0.79166666666666663</v>
      </c>
      <c r="E23" s="49"/>
      <c r="F23" s="50" t="s">
        <v>555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hidden="1" customHeight="1" x14ac:dyDescent="0.3">
      <c r="A24" s="193" t="s">
        <v>0</v>
      </c>
      <c r="B24" s="195" t="s">
        <v>1</v>
      </c>
      <c r="C24" s="44" t="s">
        <v>824</v>
      </c>
      <c r="D24" s="45" t="s">
        <v>2</v>
      </c>
      <c r="E24" s="46" t="s">
        <v>3</v>
      </c>
      <c r="F24" s="47" t="s">
        <v>4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 t="str">
        <f t="shared" ref="A25" si="6">PROPER(TEXT(B25, "dddd"))</f>
        <v>Torsdag</v>
      </c>
      <c r="B25" s="195">
        <f t="shared" ref="B25" si="7">Torsdag14</f>
        <v>45750</v>
      </c>
      <c r="C25" s="40">
        <v>0.375</v>
      </c>
      <c r="D25" s="48">
        <v>0.4375</v>
      </c>
      <c r="E25" s="49" t="s">
        <v>71</v>
      </c>
      <c r="F25" s="50" t="s">
        <v>507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/>
      <c r="B26" s="195"/>
      <c r="C26" s="40">
        <v>0.41666666666666669</v>
      </c>
      <c r="D26" s="48">
        <v>0.5</v>
      </c>
      <c r="E26" s="49"/>
      <c r="F26" s="50" t="s">
        <v>238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s="10" customFormat="1" ht="15" customHeight="1" x14ac:dyDescent="0.3">
      <c r="A27" s="193"/>
      <c r="B27" s="195"/>
      <c r="C27" s="40">
        <v>0.5625</v>
      </c>
      <c r="D27" s="48">
        <v>0.64583333333333337</v>
      </c>
      <c r="E27" s="49"/>
      <c r="F27" s="50" t="s">
        <v>218</v>
      </c>
    </row>
    <row r="28" spans="1:24" ht="15" customHeight="1" x14ac:dyDescent="0.3">
      <c r="A28" s="193"/>
      <c r="B28" s="195"/>
      <c r="C28" s="40">
        <v>0.63194444444444442</v>
      </c>
      <c r="D28" s="48">
        <v>0.67361111111111116</v>
      </c>
      <c r="E28" s="49" t="s">
        <v>87</v>
      </c>
      <c r="F28" s="50" t="s">
        <v>582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193"/>
      <c r="B29" s="195"/>
      <c r="C29" s="40">
        <v>0.70833333333333337</v>
      </c>
      <c r="D29" s="48">
        <v>0.83333333333333337</v>
      </c>
      <c r="E29" s="49"/>
      <c r="F29" s="50" t="s">
        <v>873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193"/>
      <c r="B30" s="195"/>
      <c r="C30" s="40">
        <v>0.83333333333333337</v>
      </c>
      <c r="D30" s="48">
        <v>0.875</v>
      </c>
      <c r="E30" s="49" t="s">
        <v>88</v>
      </c>
      <c r="F30" s="50" t="s">
        <v>853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hidden="1" customHeight="1" x14ac:dyDescent="0.3">
      <c r="A31" s="193" t="s">
        <v>0</v>
      </c>
      <c r="B31" s="195" t="s">
        <v>1</v>
      </c>
      <c r="C31" s="44" t="s">
        <v>824</v>
      </c>
      <c r="D31" s="45" t="s">
        <v>2</v>
      </c>
      <c r="E31" s="46" t="s">
        <v>3</v>
      </c>
      <c r="F31" s="47" t="s">
        <v>4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193" t="str">
        <f t="shared" ref="A32" si="8">PROPER(TEXT(B32, "dddd"))</f>
        <v>Fredag</v>
      </c>
      <c r="B32" s="195">
        <f t="shared" ref="B32" si="9">Fredag14</f>
        <v>45751</v>
      </c>
      <c r="C32" s="40">
        <v>0.33333333333333331</v>
      </c>
      <c r="D32" s="48">
        <v>0.375</v>
      </c>
      <c r="E32" s="49" t="s">
        <v>89</v>
      </c>
      <c r="F32" s="50" t="s">
        <v>792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193"/>
      <c r="B33" s="195"/>
      <c r="C33" s="40">
        <v>0.375</v>
      </c>
      <c r="D33" s="48">
        <v>0.4375</v>
      </c>
      <c r="E33" s="49" t="s">
        <v>53</v>
      </c>
      <c r="F33" s="50" t="s">
        <v>507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s="10" customFormat="1" ht="15" customHeight="1" x14ac:dyDescent="0.3">
      <c r="A34" s="193"/>
      <c r="B34" s="195"/>
      <c r="C34" s="40">
        <v>0.39583333333333331</v>
      </c>
      <c r="D34" s="48">
        <v>0.4375</v>
      </c>
      <c r="E34" s="49" t="s">
        <v>89</v>
      </c>
      <c r="F34" s="50" t="s">
        <v>792</v>
      </c>
    </row>
    <row r="35" spans="1:24" ht="15" customHeight="1" x14ac:dyDescent="0.3">
      <c r="A35" s="193"/>
      <c r="B35" s="195"/>
      <c r="C35" s="40">
        <v>0.41666666666666669</v>
      </c>
      <c r="D35" s="48">
        <v>0.5</v>
      </c>
      <c r="E35" s="49"/>
      <c r="F35" s="50" t="s">
        <v>629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customHeight="1" x14ac:dyDescent="0.3">
      <c r="A36" s="193"/>
      <c r="B36" s="195"/>
      <c r="C36" s="40">
        <v>0.45833333333333331</v>
      </c>
      <c r="D36" s="48">
        <v>0.54166666666666663</v>
      </c>
      <c r="E36" s="49"/>
      <c r="F36" s="50" t="s">
        <v>800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193"/>
      <c r="B37" s="195"/>
      <c r="C37" s="40">
        <v>0.61111111111111116</v>
      </c>
      <c r="D37" s="48">
        <v>0.65277777777777779</v>
      </c>
      <c r="E37" s="49" t="s">
        <v>87</v>
      </c>
      <c r="F37" s="50" t="s">
        <v>582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8" spans="1:24" ht="15" customHeight="1" x14ac:dyDescent="0.3">
      <c r="A38" s="193"/>
      <c r="B38" s="195"/>
      <c r="C38" s="40">
        <v>0.70833333333333337</v>
      </c>
      <c r="D38" s="48">
        <v>0.83333333333333337</v>
      </c>
      <c r="E38" s="49"/>
      <c r="F38" s="50" t="s">
        <v>873</v>
      </c>
      <c r="G38"/>
      <c r="H38" s="1"/>
      <c r="I38" s="1"/>
      <c r="L38"/>
      <c r="M38"/>
      <c r="N38"/>
      <c r="O38"/>
      <c r="P38"/>
      <c r="Q38"/>
      <c r="R38"/>
      <c r="S38"/>
      <c r="T38"/>
      <c r="V38"/>
      <c r="W38"/>
      <c r="X38"/>
    </row>
    <row r="39" spans="1:24" ht="15" hidden="1" customHeight="1" x14ac:dyDescent="0.3">
      <c r="A39" s="193" t="s">
        <v>0</v>
      </c>
      <c r="B39" s="195" t="s">
        <v>1</v>
      </c>
      <c r="C39" s="44" t="s">
        <v>824</v>
      </c>
      <c r="D39" s="45" t="s">
        <v>2</v>
      </c>
      <c r="E39" s="46" t="s">
        <v>3</v>
      </c>
      <c r="F39" s="47" t="s">
        <v>4</v>
      </c>
      <c r="G39"/>
      <c r="H39" s="1"/>
      <c r="I39" s="1"/>
      <c r="L39"/>
      <c r="M39"/>
      <c r="N39"/>
      <c r="O39"/>
      <c r="P39"/>
      <c r="Q39"/>
      <c r="R39"/>
      <c r="S39"/>
      <c r="T39"/>
      <c r="V39"/>
      <c r="W39"/>
      <c r="X39"/>
    </row>
    <row r="40" spans="1:24" ht="15" customHeight="1" x14ac:dyDescent="0.3">
      <c r="A40" s="193" t="str">
        <f t="shared" ref="A40" si="10">PROPER(TEXT(B40, "dddd"))</f>
        <v>Lördag</v>
      </c>
      <c r="B40" s="195">
        <f t="shared" ref="B40" si="11">Lördag14</f>
        <v>45752</v>
      </c>
      <c r="C40" s="40">
        <v>0.375</v>
      </c>
      <c r="D40" s="48">
        <v>0.625</v>
      </c>
      <c r="E40" s="49"/>
      <c r="F40" s="50" t="s">
        <v>873</v>
      </c>
      <c r="G40"/>
      <c r="H40" s="1"/>
      <c r="I40" s="1"/>
      <c r="L40"/>
      <c r="M40"/>
      <c r="N40"/>
      <c r="O40"/>
      <c r="P40"/>
      <c r="Q40"/>
      <c r="R40"/>
      <c r="S40"/>
      <c r="T40"/>
      <c r="V40"/>
      <c r="W40"/>
      <c r="X40"/>
    </row>
    <row r="41" spans="1:24" ht="15" customHeight="1" x14ac:dyDescent="0.3">
      <c r="A41" s="193"/>
      <c r="B41" s="195"/>
      <c r="C41" s="40">
        <v>0.66666666666666663</v>
      </c>
      <c r="D41" s="48">
        <v>0.79166666666666663</v>
      </c>
      <c r="E41" s="49" t="s">
        <v>72</v>
      </c>
      <c r="F41" s="50" t="s">
        <v>864</v>
      </c>
      <c r="G41"/>
      <c r="H41" s="1"/>
      <c r="I41" s="1"/>
      <c r="L41"/>
      <c r="M41"/>
      <c r="N41"/>
      <c r="O41"/>
      <c r="P41"/>
      <c r="Q41"/>
      <c r="R41"/>
      <c r="S41"/>
      <c r="T41"/>
      <c r="V41"/>
      <c r="W41"/>
      <c r="X41"/>
    </row>
    <row r="42" spans="1:24" ht="15" hidden="1" customHeight="1" x14ac:dyDescent="0.3">
      <c r="A42" s="193" t="s">
        <v>0</v>
      </c>
      <c r="B42" s="195" t="s">
        <v>1</v>
      </c>
      <c r="C42" s="44" t="s">
        <v>824</v>
      </c>
      <c r="D42" s="45" t="s">
        <v>2</v>
      </c>
      <c r="E42" s="46" t="s">
        <v>3</v>
      </c>
      <c r="F42" s="47" t="s">
        <v>4</v>
      </c>
      <c r="G42"/>
      <c r="H42" s="1"/>
      <c r="I42" s="1"/>
      <c r="L42"/>
      <c r="M42"/>
      <c r="N42"/>
      <c r="O42"/>
      <c r="P42"/>
      <c r="Q42"/>
      <c r="R42"/>
      <c r="S42"/>
      <c r="T42"/>
      <c r="V42"/>
      <c r="W42"/>
      <c r="X42"/>
    </row>
    <row r="43" spans="1:24" ht="15" customHeight="1" x14ac:dyDescent="0.3">
      <c r="A43" s="193" t="str">
        <f t="shared" ref="A43" si="12">PROPER(TEXT(B43, "dddd"))</f>
        <v>Söndag</v>
      </c>
      <c r="B43" s="195">
        <f t="shared" ref="B43" si="13">Söndag14</f>
        <v>45753</v>
      </c>
      <c r="C43" s="40">
        <v>0.375</v>
      </c>
      <c r="D43" s="48">
        <v>0.79166666666666663</v>
      </c>
      <c r="E43" s="49"/>
      <c r="F43" s="50" t="s">
        <v>873</v>
      </c>
      <c r="G43"/>
      <c r="H43" s="1"/>
      <c r="I43" s="1"/>
      <c r="L43"/>
      <c r="M43"/>
      <c r="N43"/>
      <c r="O43"/>
      <c r="P43"/>
      <c r="Q43"/>
      <c r="R43"/>
      <c r="S43"/>
      <c r="T43"/>
      <c r="V43"/>
      <c r="W43"/>
      <c r="X43"/>
    </row>
    <row r="45" spans="1:24" ht="15" customHeight="1" x14ac:dyDescent="0.3">
      <c r="C45" s="40"/>
      <c r="D45" s="41"/>
    </row>
    <row r="46" spans="1:24" ht="15" customHeight="1" x14ac:dyDescent="0.3">
      <c r="C46" s="40"/>
      <c r="D46" s="8"/>
    </row>
    <row r="47" spans="1:24" ht="15" customHeight="1" x14ac:dyDescent="0.3">
      <c r="C47" s="40"/>
      <c r="D47" s="8"/>
    </row>
  </sheetData>
  <sheetProtection algorithmName="SHA-512" hashValue="uEy3DfgY0SreY25VQSCeSHRJJoCVvEKSdSE317qmY97TrxRSLSkIK/OHE3c+79PH6YtnJUCRy59T+O33frMbTQ==" saltValue="Cg6eMXC+9lj1jNrngV/Qcg==" spinCount="100000" sheet="1" objects="1" scenarios="1" autoFilter="0" pivotTables="0"/>
  <sortState xmlns:xlrd2="http://schemas.microsoft.com/office/spreadsheetml/2017/richdata2" ref="A32:F38">
    <sortCondition ref="C32:C38"/>
  </sortState>
  <conditionalFormatting sqref="A9:A14 A3:A5 A43 A16:A21 A24:A25 A27:A28 A31:A37 A39:A40">
    <cfRule type="expression" dxfId="865" priority="4">
      <formula>OR(IF($A2="Dag",1))</formula>
    </cfRule>
  </conditionalFormatting>
  <conditionalFormatting sqref="A43:B43 A17:B23 A9:B15 A3:B7 A32:B38 A25:B30 A40:B41">
    <cfRule type="cellIs" dxfId="864" priority="1" operator="equal">
      <formula>"Datum"</formula>
    </cfRule>
    <cfRule type="cellIs" dxfId="863" priority="2" operator="equal">
      <formula>"Dag"</formula>
    </cfRule>
  </conditionalFormatting>
  <conditionalFormatting sqref="A42">
    <cfRule type="expression" dxfId="862" priority="22">
      <formula>OR(IF(#REF!="Dag",1))</formula>
    </cfRule>
  </conditionalFormatting>
  <conditionalFormatting sqref="A15">
    <cfRule type="expression" dxfId="861" priority="331">
      <formula>OR(IF($A13="Dag",1))</formula>
    </cfRule>
  </conditionalFormatting>
  <conditionalFormatting sqref="A22">
    <cfRule type="expression" dxfId="860" priority="343">
      <formula>OR(IF($A18="Dag",1))</formula>
    </cfRule>
  </conditionalFormatting>
  <conditionalFormatting sqref="A38">
    <cfRule type="expression" dxfId="859" priority="368">
      <formula>OR(IF($A36="Dag",1))</formula>
    </cfRule>
  </conditionalFormatting>
  <conditionalFormatting sqref="A1:B2 A8:B8 A16:B16 A24:B24 A31:B31 A39:B39 A42:B42 A44:B1048576">
    <cfRule type="cellIs" dxfId="858" priority="14" operator="equal">
      <formula>"Datum"</formula>
    </cfRule>
    <cfRule type="cellIs" dxfId="857" priority="15" operator="equal">
      <formula>"Dag"</formula>
    </cfRule>
  </conditionalFormatting>
  <conditionalFormatting sqref="B3:B5 B9:B14 B16:B21 B24:B25 B27:B28 B31:B37 B39:B40 B43">
    <cfRule type="expression" dxfId="856" priority="21">
      <formula>OR(IF($B2="Datum",1))</formula>
    </cfRule>
  </conditionalFormatting>
  <conditionalFormatting sqref="B15">
    <cfRule type="expression" dxfId="855" priority="335">
      <formula>OR(IF($B13="Datum",1))</formula>
    </cfRule>
  </conditionalFormatting>
  <conditionalFormatting sqref="B22">
    <cfRule type="expression" dxfId="854" priority="352">
      <formula>OR(IF($B18="Datum",1))</formula>
    </cfRule>
  </conditionalFormatting>
  <conditionalFormatting sqref="B38">
    <cfRule type="expression" dxfId="853" priority="370">
      <formula>OR(IF($B36="Datum",1))</formula>
    </cfRule>
  </conditionalFormatting>
  <conditionalFormatting sqref="C3:E43">
    <cfRule type="expression" dxfId="852" priority="18">
      <formula>OR(IF($E3="Hela hallen",1))</formula>
    </cfRule>
  </conditionalFormatting>
  <conditionalFormatting sqref="L1:T1048576">
    <cfRule type="cellIs" dxfId="851" priority="13" operator="equal">
      <formula>"-"</formula>
    </cfRule>
  </conditionalFormatting>
  <conditionalFormatting sqref="A23 A30 A6:A7">
    <cfRule type="expression" dxfId="850" priority="888">
      <formula>OR(IF(#REF!="Dag",1))</formula>
    </cfRule>
  </conditionalFormatting>
  <conditionalFormatting sqref="B23 B30 B6:B7">
    <cfRule type="expression" dxfId="849" priority="898">
      <formula>OR(IF(#REF!="Datum",1))</formula>
    </cfRule>
  </conditionalFormatting>
  <conditionalFormatting sqref="A8">
    <cfRule type="expression" dxfId="848" priority="1012">
      <formula>OR(IF($A6="Dag",1))</formula>
    </cfRule>
  </conditionalFormatting>
  <conditionalFormatting sqref="B8">
    <cfRule type="expression" dxfId="847" priority="1013">
      <formula>OR(IF($B6="Datum",1))</formula>
    </cfRule>
  </conditionalFormatting>
  <conditionalFormatting sqref="C3:F43">
    <cfRule type="expression" dxfId="840" priority="2884">
      <formula>OR(IF(#REF!=TRUE,1))</formula>
    </cfRule>
  </conditionalFormatting>
  <conditionalFormatting sqref="A26 A29 A41">
    <cfRule type="expression" dxfId="839" priority="2886">
      <formula>OR(IF(#REF!="Dag",1))</formula>
    </cfRule>
  </conditionalFormatting>
  <conditionalFormatting sqref="B26 B29 B41:B42">
    <cfRule type="expression" dxfId="838" priority="2894">
      <formula>OR(IF(#REF!="Datum",1))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A44965F-026F-46D5-A9EA-3DF73070A3F7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A17:A21 A32:A37 A9:B14 A3:B5 A43:B43 A16:B16 A24:B25 A27:B28 A31:B31 A39:B40</xm:sqref>
        </x14:conditionalFormatting>
        <x14:conditionalFormatting xmlns:xm="http://schemas.microsoft.com/office/excel/2006/main">
          <x14:cfRule type="expression" priority="330" id="{CA44965F-026F-46D5-A9EA-3DF73070A3F7}">
            <xm:f>AND(IF(ISERROR(MATCH($B8,Kalenderår!$A$3:$A$17,0)),FALSE,TRUE), IF($B6="Datum",TRUE,FALSE), IF($A6="Dag",TRUE,FALSE))</xm:f>
            <x14:dxf>
              <font>
                <color rgb="FFC00000"/>
              </font>
            </x14:dxf>
          </x14:cfRule>
          <xm:sqref>A8:B8 A15:B15 A38:B38</xm:sqref>
        </x14:conditionalFormatting>
        <x14:conditionalFormatting xmlns:xm="http://schemas.microsoft.com/office/excel/2006/main">
          <x14:cfRule type="expression" priority="342" id="{CA44965F-026F-46D5-A9EA-3DF73070A3F7}">
            <xm:f>AND(IF(ISERROR(MATCH($B22,Kalenderår!$A$3:$A$17,0)),FALSE,TRUE), IF($B18="Datum",TRUE,FALSE), IF($A18="Dag",TRUE,FALSE))</xm:f>
            <x14:dxf>
              <font>
                <color rgb="FFC00000"/>
              </font>
            </x14:dxf>
          </x14:cfRule>
          <xm:sqref>A22</xm:sqref>
        </x14:conditionalFormatting>
        <x14:conditionalFormatting xmlns:xm="http://schemas.microsoft.com/office/excel/2006/main">
          <x14:cfRule type="expression" priority="17" id="{D25DA44D-FE77-45F9-8E3B-8183EBC0D9BB}">
            <xm:f>AND(IF(ISERROR(MATCH($B17,Kalenderår!$A$3:$A$17,0)),FALSE,TRUE), IF($B16="Datum",TRUE,FALSE), IF($A16="Dag",TRUE,FALSE))</xm:f>
            <x14:dxf>
              <font>
                <color rgb="FFC00000"/>
              </font>
            </x14:dxf>
          </x14:cfRule>
          <xm:sqref>B17:B21 B32:B37</xm:sqref>
        </x14:conditionalFormatting>
        <x14:conditionalFormatting xmlns:xm="http://schemas.microsoft.com/office/excel/2006/main">
          <x14:cfRule type="expression" priority="349" id="{D25DA44D-FE77-45F9-8E3B-8183EBC0D9BB}">
            <xm:f>AND(IF(ISERROR(MATCH($B22,Kalenderår!$A$3:$A$17,0)),FALSE,TRUE), IF($B18="Datum",TRUE,FALSE), IF($A18="Dag",TRUE,FALSE))</xm:f>
            <x14:dxf>
              <font>
                <color rgb="FFC00000"/>
              </font>
            </x14:dxf>
          </x14:cfRule>
          <xm:sqref>B22</xm:sqref>
        </x14:conditionalFormatting>
        <x14:conditionalFormatting xmlns:xm="http://schemas.microsoft.com/office/excel/2006/main">
          <x14:cfRule type="expression" priority="908" id="{CA44965F-026F-46D5-A9EA-3DF73070A3F7}">
            <xm:f>AND(IF(ISERROR(MATCH($B6,Kalenderår!$A$3:$A$17,0)),FALSE,TRUE), IF(#REF!="Datum",TRUE,FALSE), IF(#REF!="Dag",TRUE,FALSE))</xm:f>
            <x14:dxf>
              <font>
                <color rgb="FFC00000"/>
              </font>
            </x14:dxf>
          </x14:cfRule>
          <xm:sqref>A6:B7 A23:B23 A30:B30</xm:sqref>
        </x14:conditionalFormatting>
        <x14:conditionalFormatting xmlns:xm="http://schemas.microsoft.com/office/excel/2006/main">
          <x14:cfRule type="expression" priority="2905" id="{CA44965F-026F-46D5-A9EA-3DF73070A3F7}">
            <xm:f>AND(IF(ISERROR(MATCH($B26,Kalenderår!$A$3:$A$17,0)),FALSE,TRUE), IF(#REF!="Datum",TRUE,FALSE), IF(#REF!="Dag",TRUE,FALSE))</xm:f>
            <x14:dxf>
              <font>
                <color rgb="FFC00000"/>
              </font>
            </x14:dxf>
          </x14:cfRule>
          <xm:sqref>A26:B26 A29:B29 A41:B42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7634E12-0530-4324-8694-D5293E1C194C}">
          <x14:formula1>
            <xm:f>Kontaktuppgifter!$A$2:$A$300</xm:f>
          </x14:formula1>
          <xm:sqref>F43 F17:F23 F9:F15 F3:F7 F32:F38 F25:F30 F40:F41</xm:sqref>
        </x14:dataValidation>
        <x14:dataValidation type="list" allowBlank="1" showInputMessage="1" showErrorMessage="1" xr:uid="{E1608A7B-896C-4301-ABF7-0B3D13D73DA2}">
          <x14:formula1>
            <xm:f>Listor!$A$2:$A$150</xm:f>
          </x14:formula1>
          <xm:sqref>E43 E17:E23 E9:E15 E3:E7 E32:E38 E25:E30 E40:E41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46829-8BDA-491B-B436-67E7294579A3}">
  <sheetPr codeName="Blad16">
    <pageSetUpPr fitToPage="1"/>
  </sheetPr>
  <dimension ref="A1:Y51"/>
  <sheetViews>
    <sheetView showGridLines="0" zoomScaleNormal="100" workbookViewId="0">
      <pane ySplit="2" topLeftCell="A49" activePane="bottomLeft" state="frozen"/>
      <selection activeCell="C19" sqref="C19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6.44140625" style="8" bestFit="1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Måndag15</f>
        <v>45754</v>
      </c>
      <c r="W1" s="33">
        <f>Söndag15</f>
        <v>45760</v>
      </c>
      <c r="X1" s="34">
        <f>WEEKNUM(Söndag15, 2)</f>
        <v>15</v>
      </c>
      <c r="Y1" s="35" t="str">
        <f>"V. "&amp;X1&amp;", "&amp;TEXT(V1,"D MMM")&amp;"-"&amp;TEXT(W1,"D MMM")</f>
        <v>V. 15, 7 apr-13 apr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Måndag15</f>
        <v>45754</v>
      </c>
      <c r="C3" s="40">
        <v>0.33333333333333331</v>
      </c>
      <c r="D3" s="41">
        <v>0.41666666666666669</v>
      </c>
      <c r="E3" s="42">
        <v>50</v>
      </c>
      <c r="F3" s="43" t="s">
        <v>716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193"/>
      <c r="B4" s="194"/>
      <c r="C4" s="40">
        <v>0.35416666666666669</v>
      </c>
      <c r="D4" s="41">
        <v>0.38541666666666669</v>
      </c>
      <c r="E4" s="42" t="s">
        <v>87</v>
      </c>
      <c r="F4" s="43" t="s">
        <v>453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193"/>
      <c r="B5" s="194"/>
      <c r="C5" s="40">
        <v>0.5625</v>
      </c>
      <c r="D5" s="41">
        <v>0.59375</v>
      </c>
      <c r="E5" s="42" t="s">
        <v>87</v>
      </c>
      <c r="F5" s="43" t="s">
        <v>453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15" customHeight="1" x14ac:dyDescent="0.3">
      <c r="A6" s="193"/>
      <c r="B6" s="194"/>
      <c r="C6" s="40">
        <v>0.58333333333333337</v>
      </c>
      <c r="D6" s="41">
        <v>0.625</v>
      </c>
      <c r="E6" s="42">
        <v>50</v>
      </c>
      <c r="F6" s="43" t="s">
        <v>716</v>
      </c>
    </row>
    <row r="7" spans="1:25" ht="15" customHeight="1" x14ac:dyDescent="0.3">
      <c r="A7" s="193"/>
      <c r="B7" s="194"/>
      <c r="C7" s="40">
        <v>0.63194444444444442</v>
      </c>
      <c r="D7" s="41">
        <v>0.65277777777777779</v>
      </c>
      <c r="E7" s="42" t="s">
        <v>62</v>
      </c>
      <c r="F7" s="43" t="s">
        <v>582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193"/>
      <c r="B8" s="194"/>
      <c r="C8" s="40">
        <v>0.70833333333333337</v>
      </c>
      <c r="D8" s="41">
        <v>0.83333333333333337</v>
      </c>
      <c r="E8" s="42"/>
      <c r="F8" s="43" t="s">
        <v>873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hidden="1" customHeight="1" x14ac:dyDescent="0.3">
      <c r="A9" s="193" t="s">
        <v>0</v>
      </c>
      <c r="B9" s="195" t="s">
        <v>1</v>
      </c>
      <c r="C9" s="44" t="s">
        <v>824</v>
      </c>
      <c r="D9" s="45" t="s">
        <v>2</v>
      </c>
      <c r="E9" s="46" t="s">
        <v>3</v>
      </c>
      <c r="F9" s="47" t="s">
        <v>4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 t="str">
        <f t="shared" ref="A10" si="2">PROPER(TEXT(B10, "dddd"))</f>
        <v>Tisdag</v>
      </c>
      <c r="B10" s="195">
        <f t="shared" ref="B10" si="3">Tisdag15</f>
        <v>45755</v>
      </c>
      <c r="C10" s="40">
        <v>0.33333333333333331</v>
      </c>
      <c r="D10" s="48">
        <v>0.375</v>
      </c>
      <c r="E10" s="49" t="s">
        <v>89</v>
      </c>
      <c r="F10" s="50" t="s">
        <v>792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0.39583333333333331</v>
      </c>
      <c r="D11" s="48">
        <v>0.4375</v>
      </c>
      <c r="E11" s="49" t="s">
        <v>89</v>
      </c>
      <c r="F11" s="50" t="s">
        <v>792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0.44791666666666669</v>
      </c>
      <c r="D12" s="48">
        <v>0.47916666666666669</v>
      </c>
      <c r="E12" s="49" t="s">
        <v>87</v>
      </c>
      <c r="F12" s="50" t="s">
        <v>453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0.5625</v>
      </c>
      <c r="D13" s="48">
        <v>0.64583333333333337</v>
      </c>
      <c r="E13" s="49"/>
      <c r="F13" s="50" t="s">
        <v>587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/>
      <c r="B14" s="195"/>
      <c r="C14" s="40">
        <v>0.5625</v>
      </c>
      <c r="D14" s="48">
        <v>0.625</v>
      </c>
      <c r="E14" s="49" t="s">
        <v>87</v>
      </c>
      <c r="F14" s="50" t="s">
        <v>453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193"/>
      <c r="B15" s="195"/>
      <c r="C15" s="40">
        <v>0.70833333333333337</v>
      </c>
      <c r="D15" s="48">
        <v>0.83333333333333337</v>
      </c>
      <c r="E15" s="49"/>
      <c r="F15" s="50" t="s">
        <v>873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193"/>
      <c r="B16" s="195"/>
      <c r="C16" s="40">
        <v>0.83333333333333337</v>
      </c>
      <c r="D16" s="48">
        <v>0.875</v>
      </c>
      <c r="E16" s="49" t="s">
        <v>88</v>
      </c>
      <c r="F16" s="50" t="s">
        <v>886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hidden="1" customHeight="1" x14ac:dyDescent="0.3">
      <c r="A17" s="193" t="s">
        <v>0</v>
      </c>
      <c r="B17" s="195" t="s">
        <v>1</v>
      </c>
      <c r="C17" s="44" t="s">
        <v>824</v>
      </c>
      <c r="D17" s="45" t="s">
        <v>2</v>
      </c>
      <c r="E17" s="46" t="s">
        <v>3</v>
      </c>
      <c r="F17" s="47" t="s">
        <v>4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 t="str">
        <f t="shared" ref="A18" si="4">PROPER(TEXT(B18, "dddd"))</f>
        <v>Onsdag</v>
      </c>
      <c r="B18" s="195">
        <f t="shared" ref="B18" si="5">Onsdag15</f>
        <v>45756</v>
      </c>
      <c r="C18" s="40">
        <v>0.33333333333333331</v>
      </c>
      <c r="D18" s="48">
        <v>0.375</v>
      </c>
      <c r="E18" s="49" t="s">
        <v>89</v>
      </c>
      <c r="F18" s="50" t="s">
        <v>792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/>
      <c r="B19" s="195"/>
      <c r="C19" s="40">
        <v>0.375</v>
      </c>
      <c r="D19" s="48">
        <v>0.45833333333333331</v>
      </c>
      <c r="E19" s="49"/>
      <c r="F19" s="50" t="s">
        <v>737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/>
      <c r="B20" s="195"/>
      <c r="C20" s="40">
        <v>0.39583333333333331</v>
      </c>
      <c r="D20" s="48">
        <v>0.4375</v>
      </c>
      <c r="E20" s="49" t="s">
        <v>89</v>
      </c>
      <c r="F20" s="50" t="s">
        <v>792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193"/>
      <c r="B21" s="195"/>
      <c r="C21" s="40">
        <v>0.41666666666666669</v>
      </c>
      <c r="D21" s="48">
        <v>0.5</v>
      </c>
      <c r="E21" s="49"/>
      <c r="F21" s="50" t="s">
        <v>643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s="10" customFormat="1" ht="15" customHeight="1" x14ac:dyDescent="0.3">
      <c r="A22" s="193"/>
      <c r="B22" s="195"/>
      <c r="C22" s="40">
        <v>0.44791666666666669</v>
      </c>
      <c r="D22" s="48">
        <v>0.47916666666666669</v>
      </c>
      <c r="E22" s="49" t="s">
        <v>87</v>
      </c>
      <c r="F22" s="50" t="s">
        <v>453</v>
      </c>
    </row>
    <row r="23" spans="1:24" ht="15" customHeight="1" x14ac:dyDescent="0.3">
      <c r="A23" s="193"/>
      <c r="B23" s="195"/>
      <c r="C23" s="40">
        <v>0.55555555555555558</v>
      </c>
      <c r="D23" s="48">
        <v>0.63888888888888884</v>
      </c>
      <c r="E23" s="49"/>
      <c r="F23" s="50" t="s">
        <v>28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193"/>
      <c r="B24" s="195"/>
      <c r="C24" s="40">
        <v>0.55555555555555558</v>
      </c>
      <c r="D24" s="48">
        <v>0.63888888888888884</v>
      </c>
      <c r="E24" s="49"/>
      <c r="F24" s="50" t="s">
        <v>776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/>
      <c r="B25" s="195"/>
      <c r="C25" s="40">
        <v>0.5625</v>
      </c>
      <c r="D25" s="48">
        <v>0.625</v>
      </c>
      <c r="E25" s="49" t="s">
        <v>87</v>
      </c>
      <c r="F25" s="50" t="s">
        <v>453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/>
      <c r="B26" s="195"/>
      <c r="C26" s="40">
        <v>0.70833333333333337</v>
      </c>
      <c r="D26" s="48">
        <v>0.83333333333333337</v>
      </c>
      <c r="E26" s="49"/>
      <c r="F26" s="50" t="s">
        <v>873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hidden="1" customHeight="1" x14ac:dyDescent="0.3">
      <c r="A27" s="193" t="s">
        <v>0</v>
      </c>
      <c r="B27" s="195" t="s">
        <v>1</v>
      </c>
      <c r="C27" s="44" t="s">
        <v>824</v>
      </c>
      <c r="D27" s="45" t="s">
        <v>2</v>
      </c>
      <c r="E27" s="46" t="s">
        <v>3</v>
      </c>
      <c r="F27" s="47" t="s">
        <v>4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193" t="str">
        <f t="shared" ref="A28" si="6">PROPER(TEXT(B28, "dddd"))</f>
        <v>Torsdag</v>
      </c>
      <c r="B28" s="195">
        <f t="shared" ref="B28" si="7">Torsdag15</f>
        <v>45757</v>
      </c>
      <c r="C28" s="40">
        <v>0.375</v>
      </c>
      <c r="D28" s="48">
        <v>0.4375</v>
      </c>
      <c r="E28" s="49" t="s">
        <v>71</v>
      </c>
      <c r="F28" s="50" t="s">
        <v>507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193"/>
      <c r="B29" s="195"/>
      <c r="C29" s="40">
        <v>0.41666666666666669</v>
      </c>
      <c r="D29" s="48">
        <v>0.5</v>
      </c>
      <c r="E29" s="49"/>
      <c r="F29" s="50" t="s">
        <v>238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193"/>
      <c r="B30" s="195"/>
      <c r="C30" s="40">
        <v>0.44791666666666669</v>
      </c>
      <c r="D30" s="48">
        <v>0.47916666666666669</v>
      </c>
      <c r="E30" s="49" t="s">
        <v>87</v>
      </c>
      <c r="F30" s="50" t="s">
        <v>453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193"/>
      <c r="B31" s="195"/>
      <c r="C31" s="40">
        <v>0.5625</v>
      </c>
      <c r="D31" s="48">
        <v>0.64583333333333337</v>
      </c>
      <c r="E31" s="49"/>
      <c r="F31" s="50" t="s">
        <v>218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193"/>
      <c r="B32" s="195"/>
      <c r="C32" s="40">
        <v>0.5625</v>
      </c>
      <c r="D32" s="48">
        <v>0.59375</v>
      </c>
      <c r="E32" s="49" t="s">
        <v>87</v>
      </c>
      <c r="F32" s="50" t="s">
        <v>453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193"/>
      <c r="B33" s="195"/>
      <c r="C33" s="40">
        <v>0.70833333333333337</v>
      </c>
      <c r="D33" s="48">
        <v>0.83333333333333337</v>
      </c>
      <c r="E33" s="49"/>
      <c r="F33" s="50" t="s">
        <v>873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s="10" customFormat="1" ht="15" customHeight="1" x14ac:dyDescent="0.3">
      <c r="A34" s="193"/>
      <c r="B34" s="195"/>
      <c r="C34" s="40">
        <v>0.83333333333333337</v>
      </c>
      <c r="D34" s="48">
        <v>0.875</v>
      </c>
      <c r="E34" s="49" t="s">
        <v>88</v>
      </c>
      <c r="F34" s="50" t="s">
        <v>853</v>
      </c>
    </row>
    <row r="35" spans="1:24" ht="15" hidden="1" customHeight="1" x14ac:dyDescent="0.3">
      <c r="A35" s="193" t="s">
        <v>0</v>
      </c>
      <c r="B35" s="195" t="s">
        <v>1</v>
      </c>
      <c r="C35" s="44" t="s">
        <v>824</v>
      </c>
      <c r="D35" s="45" t="s">
        <v>2</v>
      </c>
      <c r="E35" s="46" t="s">
        <v>3</v>
      </c>
      <c r="F35" s="47" t="s">
        <v>4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customHeight="1" x14ac:dyDescent="0.3">
      <c r="A36" s="193" t="str">
        <f t="shared" ref="A36" si="8">PROPER(TEXT(B36, "dddd"))</f>
        <v>Fredag</v>
      </c>
      <c r="B36" s="195">
        <f t="shared" ref="B36" si="9">Fredag15</f>
        <v>45758</v>
      </c>
      <c r="C36" s="40">
        <v>0.41666666666666669</v>
      </c>
      <c r="D36" s="48">
        <v>0.5</v>
      </c>
      <c r="E36" s="49"/>
      <c r="F36" s="50" t="s">
        <v>629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193"/>
      <c r="B37" s="195"/>
      <c r="C37" s="40">
        <v>0.45833333333333331</v>
      </c>
      <c r="D37" s="48">
        <v>0.54166666666666663</v>
      </c>
      <c r="E37" s="49"/>
      <c r="F37" s="50" t="s">
        <v>800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8" spans="1:24" ht="15" customHeight="1" x14ac:dyDescent="0.3">
      <c r="A38" s="193"/>
      <c r="B38" s="195"/>
      <c r="C38" s="40">
        <v>0.61458333333333337</v>
      </c>
      <c r="D38" s="48">
        <v>0.65625</v>
      </c>
      <c r="E38" s="49" t="s">
        <v>56</v>
      </c>
      <c r="F38" s="50" t="s">
        <v>582</v>
      </c>
      <c r="G38"/>
      <c r="H38" s="1"/>
      <c r="I38" s="1"/>
      <c r="L38"/>
      <c r="M38"/>
      <c r="N38"/>
      <c r="O38"/>
      <c r="P38"/>
      <c r="Q38"/>
      <c r="R38"/>
      <c r="S38"/>
      <c r="T38"/>
      <c r="V38"/>
      <c r="W38"/>
      <c r="X38"/>
    </row>
    <row r="39" spans="1:24" ht="15" customHeight="1" x14ac:dyDescent="0.3">
      <c r="A39" s="193"/>
      <c r="B39" s="195"/>
      <c r="C39" s="40">
        <v>0.70833333333333337</v>
      </c>
      <c r="D39" s="48">
        <v>0.83333333333333337</v>
      </c>
      <c r="E39" s="49"/>
      <c r="F39" s="50" t="s">
        <v>873</v>
      </c>
      <c r="G39"/>
      <c r="H39" s="1"/>
      <c r="I39" s="1"/>
      <c r="L39"/>
      <c r="M39"/>
      <c r="N39"/>
      <c r="O39"/>
      <c r="P39"/>
      <c r="Q39"/>
      <c r="R39"/>
      <c r="S39"/>
      <c r="T39"/>
      <c r="V39"/>
      <c r="W39"/>
      <c r="X39"/>
    </row>
    <row r="40" spans="1:24" ht="15" hidden="1" customHeight="1" x14ac:dyDescent="0.3">
      <c r="A40" s="193" t="s">
        <v>0</v>
      </c>
      <c r="B40" s="195" t="s">
        <v>1</v>
      </c>
      <c r="C40" s="44" t="s">
        <v>824</v>
      </c>
      <c r="D40" s="45" t="s">
        <v>2</v>
      </c>
      <c r="E40" s="46" t="s">
        <v>3</v>
      </c>
      <c r="F40" s="47" t="s">
        <v>4</v>
      </c>
      <c r="G40"/>
      <c r="H40" s="1"/>
      <c r="I40" s="1"/>
      <c r="L40"/>
      <c r="M40"/>
      <c r="N40"/>
      <c r="O40"/>
      <c r="P40"/>
      <c r="Q40"/>
      <c r="R40"/>
      <c r="S40"/>
      <c r="T40"/>
      <c r="V40"/>
      <c r="W40"/>
      <c r="X40"/>
    </row>
    <row r="41" spans="1:24" ht="15" customHeight="1" x14ac:dyDescent="0.3">
      <c r="A41" s="193" t="str">
        <f t="shared" ref="A41" si="10">PROPER(TEXT(B41, "dddd"))</f>
        <v>Lördag</v>
      </c>
      <c r="B41" s="195">
        <f t="shared" ref="B41" si="11">Lördag15</f>
        <v>45759</v>
      </c>
      <c r="C41" s="40">
        <v>0.375</v>
      </c>
      <c r="D41" s="48">
        <v>0.625</v>
      </c>
      <c r="E41" s="49"/>
      <c r="F41" s="50" t="s">
        <v>873</v>
      </c>
      <c r="G41"/>
      <c r="H41" s="1"/>
      <c r="I41" s="1"/>
      <c r="L41"/>
      <c r="M41"/>
      <c r="N41"/>
      <c r="O41"/>
      <c r="P41"/>
      <c r="Q41"/>
      <c r="R41"/>
      <c r="S41"/>
      <c r="T41"/>
      <c r="V41"/>
      <c r="W41"/>
      <c r="X41"/>
    </row>
    <row r="42" spans="1:24" ht="15" customHeight="1" x14ac:dyDescent="0.3">
      <c r="A42" s="193"/>
      <c r="B42" s="195"/>
      <c r="C42" s="40">
        <v>0.41666666666666669</v>
      </c>
      <c r="D42" s="48">
        <v>0.75</v>
      </c>
      <c r="E42" s="49" t="s">
        <v>86</v>
      </c>
      <c r="F42" s="50" t="s">
        <v>838</v>
      </c>
      <c r="G42"/>
      <c r="H42" s="1"/>
      <c r="I42" s="1"/>
      <c r="L42"/>
      <c r="M42"/>
      <c r="N42"/>
      <c r="O42"/>
      <c r="P42"/>
      <c r="Q42"/>
      <c r="R42"/>
      <c r="S42"/>
      <c r="T42"/>
      <c r="V42"/>
      <c r="W42"/>
      <c r="X42"/>
    </row>
    <row r="43" spans="1:24" ht="15" customHeight="1" x14ac:dyDescent="0.3">
      <c r="A43" s="193"/>
      <c r="B43" s="195"/>
      <c r="C43" s="40">
        <v>0.625</v>
      </c>
      <c r="D43" s="48">
        <v>0.66666666666666663</v>
      </c>
      <c r="E43" s="49"/>
      <c r="F43" s="50" t="s">
        <v>561</v>
      </c>
      <c r="G43"/>
      <c r="H43" s="1"/>
      <c r="I43" s="1"/>
      <c r="L43"/>
      <c r="M43"/>
      <c r="N43"/>
      <c r="O43"/>
      <c r="P43"/>
      <c r="Q43"/>
      <c r="R43"/>
      <c r="S43"/>
      <c r="T43"/>
      <c r="V43"/>
      <c r="W43"/>
      <c r="X43"/>
    </row>
    <row r="44" spans="1:24" ht="15" customHeight="1" x14ac:dyDescent="0.3">
      <c r="A44" s="193"/>
      <c r="B44" s="195"/>
      <c r="C44" s="40">
        <v>0.75</v>
      </c>
      <c r="D44" s="48">
        <v>0.875</v>
      </c>
      <c r="E44" s="49">
        <v>10</v>
      </c>
      <c r="F44" s="50" t="s">
        <v>880</v>
      </c>
      <c r="G44"/>
      <c r="H44" s="1"/>
      <c r="I44" s="1"/>
      <c r="L44"/>
      <c r="M44"/>
      <c r="N44"/>
      <c r="O44"/>
      <c r="P44"/>
      <c r="Q44"/>
      <c r="R44"/>
      <c r="S44"/>
      <c r="T44"/>
      <c r="V44"/>
      <c r="W44"/>
      <c r="X44"/>
    </row>
    <row r="45" spans="1:24" ht="15" hidden="1" customHeight="1" x14ac:dyDescent="0.3">
      <c r="A45" s="193" t="s">
        <v>0</v>
      </c>
      <c r="B45" s="195" t="s">
        <v>1</v>
      </c>
      <c r="C45" s="44" t="s">
        <v>824</v>
      </c>
      <c r="D45" s="45" t="s">
        <v>2</v>
      </c>
      <c r="E45" s="46" t="s">
        <v>3</v>
      </c>
      <c r="F45" s="47" t="s">
        <v>4</v>
      </c>
      <c r="G45"/>
      <c r="H45" s="1"/>
      <c r="I45" s="1"/>
      <c r="L45"/>
      <c r="M45"/>
      <c r="N45"/>
      <c r="O45"/>
      <c r="P45"/>
      <c r="Q45"/>
      <c r="R45"/>
      <c r="S45"/>
      <c r="T45"/>
      <c r="V45"/>
      <c r="W45"/>
      <c r="X45"/>
    </row>
    <row r="46" spans="1:24" ht="15" customHeight="1" x14ac:dyDescent="0.3">
      <c r="A46" s="193" t="str">
        <f t="shared" ref="A46" si="12">PROPER(TEXT(B46, "dddd"))</f>
        <v>Söndag</v>
      </c>
      <c r="B46" s="195">
        <f t="shared" ref="B46" si="13">Söndag15</f>
        <v>45760</v>
      </c>
      <c r="C46" s="40">
        <v>0.375</v>
      </c>
      <c r="D46" s="48">
        <v>0.79166666666666663</v>
      </c>
      <c r="E46" s="49"/>
      <c r="F46" s="50" t="s">
        <v>873</v>
      </c>
      <c r="G46"/>
      <c r="H46" s="1"/>
      <c r="I46" s="1"/>
      <c r="L46"/>
      <c r="M46"/>
      <c r="N46"/>
      <c r="O46"/>
      <c r="P46"/>
      <c r="Q46"/>
      <c r="R46"/>
      <c r="S46"/>
      <c r="T46"/>
      <c r="V46"/>
      <c r="W46"/>
      <c r="X46"/>
    </row>
    <row r="47" spans="1:24" ht="15" customHeight="1" x14ac:dyDescent="0.3">
      <c r="A47" s="193"/>
      <c r="B47" s="195"/>
      <c r="C47" s="40">
        <v>0.41666666666666669</v>
      </c>
      <c r="D47" s="48">
        <v>0.75</v>
      </c>
      <c r="E47" s="49" t="s">
        <v>86</v>
      </c>
      <c r="F47" s="50" t="s">
        <v>838</v>
      </c>
      <c r="G47"/>
      <c r="H47" s="1"/>
      <c r="I47" s="1"/>
      <c r="L47"/>
      <c r="M47"/>
      <c r="N47"/>
      <c r="O47"/>
      <c r="P47"/>
      <c r="Q47"/>
      <c r="R47"/>
      <c r="S47"/>
      <c r="T47"/>
      <c r="V47"/>
      <c r="W47"/>
      <c r="X47"/>
    </row>
    <row r="49" spans="3:4" ht="15" customHeight="1" x14ac:dyDescent="0.3">
      <c r="C49" s="40"/>
      <c r="D49" s="41"/>
    </row>
    <row r="50" spans="3:4" ht="15" customHeight="1" x14ac:dyDescent="0.3">
      <c r="C50" s="40"/>
      <c r="D50" s="8"/>
    </row>
    <row r="51" spans="3:4" ht="15" customHeight="1" x14ac:dyDescent="0.3">
      <c r="C51" s="40"/>
      <c r="D51" s="8"/>
    </row>
  </sheetData>
  <sheetProtection algorithmName="SHA-512" hashValue="cG5Q3B27cyCwfB0ixOZ+b3sGrO4sGEiHGFAJXMzioXuPS15lZ2L/2c1VpWojdSzYCzj27JblPa1lctYNEha8LQ==" saltValue="D2jFfrbOGhtCk1QNuPKDIg==" spinCount="100000" sheet="1" objects="1" scenarios="1" autoFilter="0" pivotTables="0"/>
  <sortState xmlns:xlrd2="http://schemas.microsoft.com/office/spreadsheetml/2017/richdata2" ref="A36:F38">
    <sortCondition ref="C36:C38"/>
  </sortState>
  <conditionalFormatting sqref="A41:A44 A3:A4 A46:A47 A12 A18 A20:A26 A34 A28 A30:A32 A37">
    <cfRule type="expression" dxfId="836" priority="5">
      <formula>OR(IF($A2="Dag",1))</formula>
    </cfRule>
  </conditionalFormatting>
  <conditionalFormatting sqref="A41:A44 A3:B8 A46:B47 A10:B16 A18:B26 A28:B34 A36:B39">
    <cfRule type="cellIs" dxfId="835" priority="2" operator="equal">
      <formula>"Datum"</formula>
    </cfRule>
    <cfRule type="cellIs" dxfId="834" priority="3" operator="equal">
      <formula>"Dag"</formula>
    </cfRule>
  </conditionalFormatting>
  <conditionalFormatting sqref="A45">
    <cfRule type="expression" dxfId="833" priority="23">
      <formula>OR(IF(#REF!="Dag",1))</formula>
    </cfRule>
  </conditionalFormatting>
  <conditionalFormatting sqref="A38:A39">
    <cfRule type="expression" dxfId="832" priority="391">
      <formula>OR(IF($A36="Dag",1))</formula>
    </cfRule>
  </conditionalFormatting>
  <conditionalFormatting sqref="A13:A16">
    <cfRule type="expression" dxfId="831" priority="379">
      <formula>OR(IF($A12="Dag",1))</formula>
    </cfRule>
  </conditionalFormatting>
  <conditionalFormatting sqref="A1:B2 A9:B9 A17:B17 A27:B27 A35:B35 A40:B40 B41:B44 A45:B45 A48:B1048576">
    <cfRule type="cellIs" dxfId="830" priority="15" operator="equal">
      <formula>"Datum"</formula>
    </cfRule>
    <cfRule type="cellIs" dxfId="829" priority="16" operator="equal">
      <formula>"Dag"</formula>
    </cfRule>
  </conditionalFormatting>
  <conditionalFormatting sqref="B3:B4 B12 B18 B20:B26 B34 B28 B30:B32 B37 B41:B44 B46:B47">
    <cfRule type="expression" dxfId="828" priority="22">
      <formula>OR(IF($B2="Datum",1))</formula>
    </cfRule>
  </conditionalFormatting>
  <conditionalFormatting sqref="B38:B39">
    <cfRule type="expression" dxfId="827" priority="395">
      <formula>OR(IF($B36="Datum",1))</formula>
    </cfRule>
  </conditionalFormatting>
  <conditionalFormatting sqref="B13:B16">
    <cfRule type="expression" dxfId="826" priority="383">
      <formula>OR(IF($B12="Datum",1))</formula>
    </cfRule>
  </conditionalFormatting>
  <conditionalFormatting sqref="C3:E47">
    <cfRule type="expression" dxfId="825" priority="19">
      <formula>OR(IF($E3="Hela hallen",1))</formula>
    </cfRule>
  </conditionalFormatting>
  <conditionalFormatting sqref="L1:T1048576">
    <cfRule type="cellIs" dxfId="824" priority="14" operator="equal">
      <formula>"-"</formula>
    </cfRule>
  </conditionalFormatting>
  <conditionalFormatting sqref="A5:A8">
    <cfRule type="expression" dxfId="823" priority="619">
      <formula>OR(IF(#REF!="Dag",1))</formula>
    </cfRule>
  </conditionalFormatting>
  <conditionalFormatting sqref="B5:B8">
    <cfRule type="expression" dxfId="822" priority="629">
      <formula>OR(IF(#REF!="Datum",1))</formula>
    </cfRule>
  </conditionalFormatting>
  <conditionalFormatting sqref="A35">
    <cfRule type="expression" dxfId="821" priority="643">
      <formula>OR(IF($A32="Dag",1))</formula>
    </cfRule>
  </conditionalFormatting>
  <conditionalFormatting sqref="B35">
    <cfRule type="expression" dxfId="820" priority="647">
      <formula>OR(IF($B32="Datum",1))</formula>
    </cfRule>
  </conditionalFormatting>
  <conditionalFormatting sqref="A9">
    <cfRule type="expression" dxfId="819" priority="1033">
      <formula>OR(IF($A5="Dag",1))</formula>
    </cfRule>
  </conditionalFormatting>
  <conditionalFormatting sqref="B9">
    <cfRule type="expression" dxfId="818" priority="1034">
      <formula>OR(IF($B5="Datum",1))</formula>
    </cfRule>
  </conditionalFormatting>
  <conditionalFormatting sqref="A17">
    <cfRule type="expression" dxfId="817" priority="1048">
      <formula>OR(IF($A13="Dag",1))</formula>
    </cfRule>
  </conditionalFormatting>
  <conditionalFormatting sqref="B17">
    <cfRule type="expression" dxfId="816" priority="1049">
      <formula>OR(IF($B13="Datum",1))</formula>
    </cfRule>
  </conditionalFormatting>
  <conditionalFormatting sqref="A27">
    <cfRule type="expression" dxfId="815" priority="1063">
      <formula>OR(IF($A22="Dag",1))</formula>
    </cfRule>
  </conditionalFormatting>
  <conditionalFormatting sqref="B27">
    <cfRule type="expression" dxfId="814" priority="1064">
      <formula>OR(IF($B22="Datum",1))</formula>
    </cfRule>
  </conditionalFormatting>
  <conditionalFormatting sqref="A40">
    <cfRule type="expression" dxfId="813" priority="1117">
      <formula>OR(IF($A38="Dag",1))</formula>
    </cfRule>
  </conditionalFormatting>
  <conditionalFormatting sqref="B40">
    <cfRule type="expression" dxfId="812" priority="1121">
      <formula>OR(IF($B38="Datum",1))</formula>
    </cfRule>
  </conditionalFormatting>
  <conditionalFormatting sqref="C3:F47">
    <cfRule type="expression" dxfId="806" priority="2907">
      <formula>OR(IF(#REF!=TRUE,1))</formula>
    </cfRule>
  </conditionalFormatting>
  <conditionalFormatting sqref="A10:A11 A19 A33 A29 A36">
    <cfRule type="expression" dxfId="804" priority="2916">
      <formula>OR(IF(#REF!="Dag",1))</formula>
    </cfRule>
  </conditionalFormatting>
  <conditionalFormatting sqref="B10:B11 B19 B33 B29 B36 B45">
    <cfRule type="expression" dxfId="803" priority="2923">
      <formula>OR(IF(#REF!="Datum",1))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F15486E-D6AC-4A37-983A-E352D4A5A606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A3:B4 A46:B47 A12:B16 A18:B18 A20:B26 A28:B28 A30:B32 A34:B34 A37:B37 A41:B44</xm:sqref>
        </x14:conditionalFormatting>
        <x14:conditionalFormatting xmlns:xm="http://schemas.microsoft.com/office/excel/2006/main">
          <x14:cfRule type="expression" priority="390" id="{8F15486E-D6AC-4A37-983A-E352D4A5A606}">
            <xm:f>AND(IF(ISERROR(MATCH($B38,Kalenderår!$A$3:$A$17,0)),FALSE,TRUE), IF($B36="Datum",TRUE,FALSE), IF($A36="Dag",TRUE,FALSE))</xm:f>
            <x14:dxf>
              <font>
                <color rgb="FFC00000"/>
              </font>
            </x14:dxf>
          </x14:cfRule>
          <xm:sqref>A38:B40</xm:sqref>
        </x14:conditionalFormatting>
        <x14:conditionalFormatting xmlns:xm="http://schemas.microsoft.com/office/excel/2006/main">
          <x14:cfRule type="expression" priority="639" id="{8F15486E-D6AC-4A37-983A-E352D4A5A606}">
            <xm:f>AND(IF(ISERROR(MATCH($B5,Kalenderår!$A$3:$A$17,0)),FALSE,TRUE),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A5:B8</xm:sqref>
        </x14:conditionalFormatting>
        <x14:conditionalFormatting xmlns:xm="http://schemas.microsoft.com/office/excel/2006/main">
          <x14:cfRule type="expression" priority="1050" id="{8F15486E-D6AC-4A37-983A-E352D4A5A606}">
            <xm:f>AND(IF(ISERROR(MATCH($B27,Kalenderår!$A$3:$A$17,0)),FALSE,TRUE), IF($B22="Datum",TRUE,FALSE), IF($A22="Dag",TRUE,FALSE))</xm:f>
            <x14:dxf>
              <font>
                <color rgb="FFC00000"/>
              </font>
            </x14:dxf>
          </x14:cfRule>
          <xm:sqref>A27:B27</xm:sqref>
        </x14:conditionalFormatting>
        <x14:conditionalFormatting xmlns:xm="http://schemas.microsoft.com/office/excel/2006/main">
          <x14:cfRule type="expression" priority="1128" id="{8F15486E-D6AC-4A37-983A-E352D4A5A606}">
            <xm:f>AND(IF(ISERROR(MATCH($B35,Kalenderår!$A$3:$A$17,0)),FALSE,TRUE), IF($B32="Datum",TRUE,FALSE), IF($A32="Dag",TRUE,FALSE))</xm:f>
            <x14:dxf>
              <font>
                <color rgb="FFC00000"/>
              </font>
            </x14:dxf>
          </x14:cfRule>
          <xm:sqref>A35:B35</xm:sqref>
        </x14:conditionalFormatting>
        <x14:conditionalFormatting xmlns:xm="http://schemas.microsoft.com/office/excel/2006/main">
          <x14:cfRule type="expression" priority="2914" id="{8F15486E-D6AC-4A37-983A-E352D4A5A606}">
            <xm:f>AND(IF(ISERROR(MATCH($B9,Kalenderår!$A$3:$A$17,0)),FALSE,TRUE), IF($B5="Datum",TRUE,FALSE), IF($A5="Dag",TRUE,FALSE))</xm:f>
            <x14:dxf>
              <font>
                <color rgb="FFC00000"/>
              </font>
            </x14:dxf>
          </x14:cfRule>
          <xm:sqref>A9:B9 A17:B17</xm:sqref>
        </x14:conditionalFormatting>
        <x14:conditionalFormatting xmlns:xm="http://schemas.microsoft.com/office/excel/2006/main">
          <x14:cfRule type="expression" priority="2933" id="{8F15486E-D6AC-4A37-983A-E352D4A5A606}">
            <xm:f>AND(IF(ISERROR(MATCH($B10,Kalenderår!$A$3:$A$17,0)),FALSE,TRUE), IF(#REF!="Datum",TRUE,FALSE), IF(#REF!="Dag",TRUE,FALSE))</xm:f>
            <x14:dxf>
              <font>
                <color rgb="FFC00000"/>
              </font>
            </x14:dxf>
          </x14:cfRule>
          <xm:sqref>A10:B11 A19:B19 A33:B33 A29:B29 A36:B36 A45:B45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378F2A-ED69-45AC-9CCA-4391957BC84C}">
          <x14:formula1>
            <xm:f>Listor!$A$2:$A$150</xm:f>
          </x14:formula1>
          <xm:sqref>E41:E44 E3:E8 E46:E47 E10:E16 E18:E26 E28:E34 E36:E39</xm:sqref>
        </x14:dataValidation>
        <x14:dataValidation type="list" allowBlank="1" showInputMessage="1" showErrorMessage="1" xr:uid="{53318FA1-5471-4F08-8298-884489AECC68}">
          <x14:formula1>
            <xm:f>Kontaktuppgifter!$A$2:$A$300</xm:f>
          </x14:formula1>
          <xm:sqref>F41:F44 F3:F8 F46:F47 F10:F16 F18:F26 F28:F34 F36:F39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C0CC4-D4C8-4034-9217-231FB7B78237}">
  <sheetPr codeName="Blad17">
    <pageSetUpPr fitToPage="1"/>
  </sheetPr>
  <dimension ref="A1:Y29"/>
  <sheetViews>
    <sheetView showGridLines="0" zoomScaleNormal="100" workbookViewId="0">
      <pane ySplit="2" topLeftCell="A3" activePane="bottomLeft" state="frozen"/>
      <selection activeCell="C19" sqref="C19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Måndag16</f>
        <v>45761</v>
      </c>
      <c r="W1" s="33">
        <f>Söndag16</f>
        <v>45767</v>
      </c>
      <c r="X1" s="34">
        <f>WEEKNUM(Söndag16, 2)</f>
        <v>16</v>
      </c>
      <c r="Y1" s="35" t="str">
        <f>"V. "&amp;X1&amp;", "&amp;TEXT(V1,"D MMM")&amp;"-"&amp;TEXT(W1,"D MMM")</f>
        <v>V. 16, 14 apr-20 apr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>PROPER(TEXT(B3, "dddd"))</f>
        <v>Måndag</v>
      </c>
      <c r="B3" s="194">
        <f>Måndag16</f>
        <v>45761</v>
      </c>
      <c r="C3" s="40">
        <v>0.375</v>
      </c>
      <c r="D3" s="41">
        <v>0.45833333333333331</v>
      </c>
      <c r="E3" s="42" t="s">
        <v>89</v>
      </c>
      <c r="F3" s="43" t="s">
        <v>710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193"/>
      <c r="B4" s="194"/>
      <c r="C4" s="40">
        <v>0.54166666666666663</v>
      </c>
      <c r="D4" s="41">
        <v>0.60416666666666663</v>
      </c>
      <c r="E4" s="42">
        <v>2</v>
      </c>
      <c r="F4" s="43" t="s">
        <v>485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193"/>
      <c r="B5" s="194"/>
      <c r="C5" s="40">
        <v>0.70833333333333337</v>
      </c>
      <c r="D5" s="41">
        <v>0.83333333333333337</v>
      </c>
      <c r="E5" s="42"/>
      <c r="F5" s="43" t="s">
        <v>873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193" t="s">
        <v>0</v>
      </c>
      <c r="B6" s="195" t="s">
        <v>1</v>
      </c>
      <c r="C6" s="44" t="s">
        <v>824</v>
      </c>
      <c r="D6" s="45" t="s">
        <v>2</v>
      </c>
      <c r="E6" s="46" t="s">
        <v>3</v>
      </c>
      <c r="F6" s="47" t="s">
        <v>4</v>
      </c>
    </row>
    <row r="7" spans="1:25" ht="15" customHeight="1" x14ac:dyDescent="0.3">
      <c r="A7" s="193" t="str">
        <f t="shared" ref="A7" si="0">PROPER(TEXT(B7, "dddd"))</f>
        <v>Tisdag</v>
      </c>
      <c r="B7" s="195">
        <f t="shared" ref="B7" si="1">Tisdag16</f>
        <v>45762</v>
      </c>
      <c r="C7" s="40">
        <v>0.5625</v>
      </c>
      <c r="D7" s="48">
        <v>0.64583333333333337</v>
      </c>
      <c r="E7" s="49"/>
      <c r="F7" s="50" t="s">
        <v>587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193"/>
      <c r="B8" s="195"/>
      <c r="C8" s="40">
        <v>0.70833333333333337</v>
      </c>
      <c r="D8" s="48">
        <v>0.83333333333333337</v>
      </c>
      <c r="E8" s="49"/>
      <c r="F8" s="50" t="s">
        <v>873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s="10" customFormat="1" ht="20.100000000000001" hidden="1" customHeight="1" x14ac:dyDescent="0.3">
      <c r="A9" s="193" t="s">
        <v>0</v>
      </c>
      <c r="B9" s="195" t="s">
        <v>1</v>
      </c>
      <c r="C9" s="44" t="s">
        <v>824</v>
      </c>
      <c r="D9" s="45" t="s">
        <v>2</v>
      </c>
      <c r="E9" s="46" t="s">
        <v>3</v>
      </c>
      <c r="F9" s="47" t="s">
        <v>4</v>
      </c>
    </row>
    <row r="10" spans="1:25" ht="15" customHeight="1" x14ac:dyDescent="0.3">
      <c r="A10" s="193" t="str">
        <f t="shared" ref="A10" si="2">PROPER(TEXT(B10, "dddd"))</f>
        <v>Onsdag</v>
      </c>
      <c r="B10" s="195">
        <f t="shared" ref="B10" si="3">Onsdag16</f>
        <v>45763</v>
      </c>
      <c r="C10" s="40">
        <v>0.375</v>
      </c>
      <c r="D10" s="48">
        <v>0.45833333333333331</v>
      </c>
      <c r="E10" s="49"/>
      <c r="F10" s="50" t="s">
        <v>737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0.41666666666666669</v>
      </c>
      <c r="D11" s="48">
        <v>0.5</v>
      </c>
      <c r="E11" s="49"/>
      <c r="F11" s="50" t="s">
        <v>643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0.41666666666666669</v>
      </c>
      <c r="D12" s="48">
        <v>0.5</v>
      </c>
      <c r="E12" s="49" t="s">
        <v>98</v>
      </c>
      <c r="F12" s="50" t="s">
        <v>888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0.55555555555555558</v>
      </c>
      <c r="D13" s="48">
        <v>0.63888888888888884</v>
      </c>
      <c r="E13" s="49"/>
      <c r="F13" s="50" t="s">
        <v>28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/>
      <c r="B14" s="195"/>
      <c r="C14" s="40">
        <v>0.55555555555555558</v>
      </c>
      <c r="D14" s="48">
        <v>0.63888888888888884</v>
      </c>
      <c r="E14" s="49"/>
      <c r="F14" s="50" t="s">
        <v>776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193"/>
      <c r="B15" s="195"/>
      <c r="C15" s="40">
        <v>0.70833333333333337</v>
      </c>
      <c r="D15" s="48">
        <v>0.83333333333333337</v>
      </c>
      <c r="E15" s="49"/>
      <c r="F15" s="50" t="s">
        <v>873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s="10" customFormat="1" ht="20.100000000000001" hidden="1" customHeight="1" x14ac:dyDescent="0.3">
      <c r="A16" s="193" t="s">
        <v>0</v>
      </c>
      <c r="B16" s="195" t="s">
        <v>1</v>
      </c>
      <c r="C16" s="44" t="s">
        <v>824</v>
      </c>
      <c r="D16" s="45" t="s">
        <v>2</v>
      </c>
      <c r="E16" s="46" t="s">
        <v>3</v>
      </c>
      <c r="F16" s="47" t="s">
        <v>4</v>
      </c>
    </row>
    <row r="17" spans="1:24" ht="15" customHeight="1" x14ac:dyDescent="0.3">
      <c r="A17" s="193" t="str">
        <f t="shared" ref="A17" si="4">PROPER(TEXT(B17, "dddd"))</f>
        <v>Torsdag</v>
      </c>
      <c r="B17" s="195">
        <f t="shared" ref="B17" si="5">Torsdag16</f>
        <v>45764</v>
      </c>
      <c r="C17" s="40">
        <v>0.41666666666666669</v>
      </c>
      <c r="D17" s="48">
        <v>0.5</v>
      </c>
      <c r="E17" s="49"/>
      <c r="F17" s="50" t="s">
        <v>238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/>
      <c r="B18" s="195"/>
      <c r="C18" s="40">
        <v>0.5625</v>
      </c>
      <c r="D18" s="48">
        <v>0.64583333333333337</v>
      </c>
      <c r="E18" s="49"/>
      <c r="F18" s="50" t="s">
        <v>218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/>
      <c r="B19" s="195"/>
      <c r="C19" s="40">
        <v>0.70833333333333337</v>
      </c>
      <c r="D19" s="48">
        <v>0.83333333333333337</v>
      </c>
      <c r="E19" s="49"/>
      <c r="F19" s="50" t="s">
        <v>873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s="10" customFormat="1" ht="20.100000000000001" hidden="1" customHeight="1" x14ac:dyDescent="0.3">
      <c r="A20" s="193" t="s">
        <v>0</v>
      </c>
      <c r="B20" s="195" t="s">
        <v>1</v>
      </c>
      <c r="C20" s="44" t="s">
        <v>824</v>
      </c>
      <c r="D20" s="45" t="s">
        <v>2</v>
      </c>
      <c r="E20" s="46" t="s">
        <v>3</v>
      </c>
      <c r="F20" s="47" t="s">
        <v>4</v>
      </c>
    </row>
    <row r="21" spans="1:24" ht="15" customHeight="1" x14ac:dyDescent="0.3">
      <c r="A21" s="193" t="str">
        <f t="shared" ref="A21" si="6">PROPER(TEXT(B21, "dddd"))</f>
        <v>Fredag</v>
      </c>
      <c r="B21" s="195">
        <f t="shared" ref="B21" si="7">Fredag16</f>
        <v>45765</v>
      </c>
      <c r="C21" s="40">
        <v>0.70833333333333337</v>
      </c>
      <c r="D21" s="48">
        <v>0.83333333333333337</v>
      </c>
      <c r="E21" s="49"/>
      <c r="F21" s="50" t="s">
        <v>873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s="10" customFormat="1" ht="20.100000000000001" hidden="1" customHeight="1" x14ac:dyDescent="0.3">
      <c r="A22" s="193" t="s">
        <v>0</v>
      </c>
      <c r="B22" s="195" t="s">
        <v>1</v>
      </c>
      <c r="C22" s="44" t="s">
        <v>824</v>
      </c>
      <c r="D22" s="45" t="s">
        <v>2</v>
      </c>
      <c r="E22" s="46" t="s">
        <v>3</v>
      </c>
      <c r="F22" s="47" t="s">
        <v>4</v>
      </c>
    </row>
    <row r="23" spans="1:24" ht="15" customHeight="1" x14ac:dyDescent="0.3">
      <c r="A23" s="193" t="str">
        <f t="shared" ref="A23" si="8">PROPER(TEXT(B23, "dddd"))</f>
        <v>Lördag</v>
      </c>
      <c r="B23" s="195">
        <f t="shared" ref="B23" si="9">Lördag16</f>
        <v>45766</v>
      </c>
      <c r="C23" s="40">
        <v>0.375</v>
      </c>
      <c r="D23" s="48">
        <v>0.625</v>
      </c>
      <c r="E23" s="49"/>
      <c r="F23" s="50" t="s">
        <v>873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s="10" customFormat="1" ht="20.100000000000001" hidden="1" customHeight="1" x14ac:dyDescent="0.3">
      <c r="A24" s="193" t="s">
        <v>0</v>
      </c>
      <c r="B24" s="195" t="s">
        <v>1</v>
      </c>
      <c r="C24" s="44" t="s">
        <v>824</v>
      </c>
      <c r="D24" s="45" t="s">
        <v>2</v>
      </c>
      <c r="E24" s="46" t="s">
        <v>3</v>
      </c>
      <c r="F24" s="47" t="s">
        <v>4</v>
      </c>
    </row>
    <row r="25" spans="1:24" ht="15" customHeight="1" x14ac:dyDescent="0.3">
      <c r="A25" s="193" t="str">
        <f t="shared" ref="A25" si="10">PROPER(TEXT(B25, "dddd"))</f>
        <v>Söndag</v>
      </c>
      <c r="B25" s="195">
        <f t="shared" ref="B25" si="11">Söndag16</f>
        <v>45767</v>
      </c>
      <c r="C25" s="40">
        <v>0.375</v>
      </c>
      <c r="D25" s="48">
        <v>0.79166666666666663</v>
      </c>
      <c r="E25" s="49"/>
      <c r="F25" s="50" t="s">
        <v>873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7" spans="1:24" ht="15" customHeight="1" x14ac:dyDescent="0.3">
      <c r="C27" s="40"/>
      <c r="D27" s="41"/>
    </row>
    <row r="28" spans="1:24" ht="15" customHeight="1" x14ac:dyDescent="0.3">
      <c r="C28" s="40"/>
      <c r="D28" s="8"/>
    </row>
    <row r="29" spans="1:24" ht="15" customHeight="1" x14ac:dyDescent="0.3">
      <c r="C29" s="40"/>
      <c r="D29" s="8"/>
    </row>
  </sheetData>
  <sheetProtection algorithmName="SHA-512" hashValue="/YAwu0xs+BF7KqgU+Mdnqk6FQPuT7fkDmK+isA18UXYicvnWb8zUA0CEf7B8nNCZsgDf75P4GVwTtnSunDQQPg==" saltValue="nWgId32imTmdf6dehweksg==" spinCount="100000" sheet="1" objects="1" scenarios="1" autoFilter="0" pivotTables="0"/>
  <sortState xmlns:xlrd2="http://schemas.microsoft.com/office/spreadsheetml/2017/richdata2" ref="A21:F21">
    <sortCondition ref="C21"/>
  </sortState>
  <conditionalFormatting sqref="A10:A14 A3:A4 A21 A23 A25 A8 A18:A19">
    <cfRule type="cellIs" dxfId="801" priority="1" operator="equal">
      <formula>"Datum"</formula>
    </cfRule>
    <cfRule type="cellIs" dxfId="800" priority="2" operator="equal">
      <formula>"Dag"</formula>
    </cfRule>
    <cfRule type="expression" dxfId="799" priority="4">
      <formula>OR(IF($A2="Dag",1))</formula>
    </cfRule>
  </conditionalFormatting>
  <conditionalFormatting sqref="A24">
    <cfRule type="expression" dxfId="798" priority="22">
      <formula>OR(IF(#REF!="Dag",1))</formula>
    </cfRule>
  </conditionalFormatting>
  <conditionalFormatting sqref="A1:B2 A6:B6 A9:B9 B10:B15 A16:B16 A20:B20 A22:B22 A24:B24 A26:B1048576 B3:B5 B21 B25 B7:B8 B17:B19 B23">
    <cfRule type="cellIs" dxfId="797" priority="14" operator="equal">
      <formula>"Datum"</formula>
    </cfRule>
    <cfRule type="cellIs" dxfId="796" priority="15" operator="equal">
      <formula>"Dag"</formula>
    </cfRule>
  </conditionalFormatting>
  <conditionalFormatting sqref="B3:B4 B8 B10:B14 B18:B19 B21 B23 B25">
    <cfRule type="expression" dxfId="795" priority="21">
      <formula>OR(IF($B2="Datum",1))</formula>
    </cfRule>
  </conditionalFormatting>
  <conditionalFormatting sqref="C3:E25">
    <cfRule type="expression" dxfId="794" priority="18">
      <formula>OR(IF($E3="Hela hallen",1))</formula>
    </cfRule>
  </conditionalFormatting>
  <conditionalFormatting sqref="L1:T1048576">
    <cfRule type="cellIs" dxfId="793" priority="13" operator="equal">
      <formula>"-"</formula>
    </cfRule>
  </conditionalFormatting>
  <conditionalFormatting sqref="A15">
    <cfRule type="cellIs" dxfId="792" priority="534" operator="equal">
      <formula>"Datum"</formula>
    </cfRule>
    <cfRule type="cellIs" dxfId="791" priority="535" operator="equal">
      <formula>"Dag"</formula>
    </cfRule>
    <cfRule type="expression" dxfId="790" priority="536">
      <formula>OR(IF($A13="Dag",1))</formula>
    </cfRule>
  </conditionalFormatting>
  <conditionalFormatting sqref="B15">
    <cfRule type="expression" dxfId="789" priority="541">
      <formula>OR(IF($B13="Datum",1))</formula>
    </cfRule>
  </conditionalFormatting>
  <conditionalFormatting sqref="A5">
    <cfRule type="cellIs" dxfId="788" priority="1092" operator="equal">
      <formula>"Datum"</formula>
    </cfRule>
    <cfRule type="cellIs" dxfId="787" priority="1093" operator="equal">
      <formula>"Dag"</formula>
    </cfRule>
    <cfRule type="expression" dxfId="786" priority="1094">
      <formula>OR(IF(#REF!="Dag",1))</formula>
    </cfRule>
  </conditionalFormatting>
  <conditionalFormatting sqref="B5">
    <cfRule type="expression" dxfId="785" priority="1103">
      <formula>OR(IF(#REF!="Datum",1))</formula>
    </cfRule>
  </conditionalFormatting>
  <conditionalFormatting sqref="C3:F25">
    <cfRule type="expression" dxfId="781" priority="2935">
      <formula>OR(IF(#REF!=TRUE,1))</formula>
    </cfRule>
  </conditionalFormatting>
  <conditionalFormatting sqref="A6 A9 A16 A20 A22">
    <cfRule type="expression" dxfId="780" priority="2936">
      <formula>OR(IF(#REF!="Dag",1))</formula>
    </cfRule>
  </conditionalFormatting>
  <conditionalFormatting sqref="B6:B7 B9 B16:B17 B20 B22 B24">
    <cfRule type="expression" dxfId="779" priority="2937">
      <formula>OR(IF(#REF!="Datum",1))</formula>
    </cfRule>
  </conditionalFormatting>
  <conditionalFormatting sqref="A7 A17">
    <cfRule type="cellIs" dxfId="777" priority="2948" operator="equal">
      <formula>"Datum"</formula>
    </cfRule>
    <cfRule type="cellIs" dxfId="776" priority="2949" operator="equal">
      <formula>"Dag"</formula>
    </cfRule>
    <cfRule type="expression" dxfId="775" priority="2950">
      <formula>OR(IF(#REF!="Dag",1))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D43601E-D76A-4275-81C7-5F56E7167D21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A10:B14 A3:B4 A21:B21 A25:B25 A8:B8 A18:B19 A23:B23</xm:sqref>
        </x14:conditionalFormatting>
        <x14:conditionalFormatting xmlns:xm="http://schemas.microsoft.com/office/excel/2006/main">
          <x14:cfRule type="expression" priority="544" id="{8D43601E-D76A-4275-81C7-5F56E7167D21}">
            <xm:f>AND(IF(ISERROR(MATCH($B15,Kalenderår!$A$3:$A$17,0)),FALSE,TRUE), IF($B13="Datum",TRUE,FALSE), IF($A13="Dag",TRUE,FALSE))</xm:f>
            <x14:dxf>
              <font>
                <color rgb="FFC00000"/>
              </font>
            </x14:dxf>
          </x14:cfRule>
          <xm:sqref>A15:B15</xm:sqref>
        </x14:conditionalFormatting>
        <x14:conditionalFormatting xmlns:xm="http://schemas.microsoft.com/office/excel/2006/main">
          <x14:cfRule type="expression" priority="1113" id="{8D43601E-D76A-4275-81C7-5F56E7167D21}">
            <xm:f>AND(IF(ISERROR(MATCH($B5,Kalenderår!$A$3:$A$17,0)),FALSE,TRUE),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A5:B5</xm:sqref>
        </x14:conditionalFormatting>
        <x14:conditionalFormatting xmlns:xm="http://schemas.microsoft.com/office/excel/2006/main">
          <x14:cfRule type="expression" priority="2944" id="{6DC04591-9C49-4FB7-B97D-8EF340797356}">
            <xm:f>AND(IF(ISERROR(MATCH($B6,Kalenderår!$A$3:$A$17,0)),FALSE,TRUE), IF(#REF!="Datum",TRUE,FALSE), IF(#REF!="Dag",TRUE,FALSE))</xm:f>
            <x14:dxf>
              <font>
                <color rgb="FFC00000"/>
              </font>
            </x14:dxf>
          </x14:cfRule>
          <xm:sqref>A6:B7 A9:B9 A16:B17 A20:B20 A22:B22 A24:B24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A78367-8659-4ECF-9E73-290E8FD2CA8E}">
          <x14:formula1>
            <xm:f>Kontaktuppgifter!$A$2:$A$300</xm:f>
          </x14:formula1>
          <xm:sqref>F10:F15 F3:F5 F21 F25 F7:F8 F17:F19 F23</xm:sqref>
        </x14:dataValidation>
        <x14:dataValidation type="list" allowBlank="1" showInputMessage="1" showErrorMessage="1" xr:uid="{0F4C0A8E-FB03-4D88-BB75-6FC349F39DC1}">
          <x14:formula1>
            <xm:f>Listor!$A$2:$A$150</xm:f>
          </x14:formula1>
          <xm:sqref>E10:E15 E3:E5 E21 E25 E7:E8 E17:E19 E23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EA68E-A230-4A24-8206-002A604A1AB7}">
  <sheetPr codeName="Blad18"/>
  <dimension ref="A1:Y39"/>
  <sheetViews>
    <sheetView showGridLines="0" zoomScaleNormal="100" workbookViewId="0">
      <pane ySplit="2" topLeftCell="A3" activePane="bottomLeft" state="frozen"/>
      <selection activeCell="C19" sqref="C19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66" style="8" bestFit="1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Måndag17</f>
        <v>45768</v>
      </c>
      <c r="W1" s="33">
        <f>Söndag17</f>
        <v>45774</v>
      </c>
      <c r="X1" s="34">
        <f>WEEKNUM(Söndag17, 2)</f>
        <v>17</v>
      </c>
      <c r="Y1" s="35" t="str">
        <f>"V. "&amp;X1&amp;", "&amp;TEXT(V1,"D MMM")&amp;"-"&amp;TEXT(W1,"D MMM")</f>
        <v>V. 17, 21 apr-27 apr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Måndag17</f>
        <v>45768</v>
      </c>
      <c r="C3" s="40">
        <v>0.70833333333333337</v>
      </c>
      <c r="D3" s="41">
        <v>0.83333333333333337</v>
      </c>
      <c r="E3" s="42"/>
      <c r="F3" s="43" t="s">
        <v>873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 t="shared" ref="A5" si="2">PROPER(TEXT(B5, "dddd"))</f>
        <v>Tisdag</v>
      </c>
      <c r="B5" s="195">
        <f t="shared" ref="B5" si="3">Tisdag17</f>
        <v>45769</v>
      </c>
      <c r="C5" s="40">
        <v>0.33333333333333331</v>
      </c>
      <c r="D5" s="48">
        <v>0.39583333333333331</v>
      </c>
      <c r="E5" s="49"/>
      <c r="F5" s="50" t="s">
        <v>508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5"/>
      <c r="C6" s="40">
        <v>0.375</v>
      </c>
      <c r="D6" s="48">
        <v>0.44791666666666669</v>
      </c>
      <c r="E6" s="49" t="s">
        <v>83</v>
      </c>
      <c r="F6" s="50" t="s">
        <v>507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/>
      <c r="B7" s="195"/>
      <c r="C7" s="40">
        <v>0.5625</v>
      </c>
      <c r="D7" s="48">
        <v>0.64583333333333337</v>
      </c>
      <c r="E7" s="49"/>
      <c r="F7" s="50" t="s">
        <v>587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193"/>
      <c r="B8" s="195"/>
      <c r="C8" s="40">
        <v>0.70833333333333337</v>
      </c>
      <c r="D8" s="48">
        <v>0.83333333333333337</v>
      </c>
      <c r="E8" s="49"/>
      <c r="F8" s="50" t="s">
        <v>873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193"/>
      <c r="B9" s="195"/>
      <c r="C9" s="40">
        <v>0.72916666666666663</v>
      </c>
      <c r="D9" s="48">
        <v>0.8125</v>
      </c>
      <c r="E9" s="49" t="s">
        <v>72</v>
      </c>
      <c r="F9" s="50" t="s">
        <v>857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0.83333333333333337</v>
      </c>
      <c r="D10" s="48">
        <v>0.875</v>
      </c>
      <c r="E10" s="49" t="s">
        <v>88</v>
      </c>
      <c r="F10" s="50" t="s">
        <v>886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hidden="1" customHeight="1" x14ac:dyDescent="0.3">
      <c r="A11" s="193" t="s">
        <v>0</v>
      </c>
      <c r="B11" s="195" t="s">
        <v>1</v>
      </c>
      <c r="C11" s="44" t="s">
        <v>824</v>
      </c>
      <c r="D11" s="45" t="s">
        <v>2</v>
      </c>
      <c r="E11" s="46" t="s">
        <v>3</v>
      </c>
      <c r="F11" s="47" t="s">
        <v>4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 t="str">
        <f t="shared" ref="A12" si="4">PROPER(TEXT(B12, "dddd"))</f>
        <v>Onsdag</v>
      </c>
      <c r="B12" s="195">
        <f t="shared" ref="B12" si="5">Onsdag17</f>
        <v>45770</v>
      </c>
      <c r="C12" s="40">
        <v>0.33333333333333331</v>
      </c>
      <c r="D12" s="48">
        <v>0.41666666666666669</v>
      </c>
      <c r="E12" s="49">
        <v>50</v>
      </c>
      <c r="F12" s="50" t="s">
        <v>716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0.375</v>
      </c>
      <c r="D13" s="48">
        <v>0.45833333333333331</v>
      </c>
      <c r="E13" s="49"/>
      <c r="F13" s="50" t="s">
        <v>737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/>
      <c r="B14" s="195"/>
      <c r="C14" s="40">
        <v>0.41666666666666669</v>
      </c>
      <c r="D14" s="48">
        <v>0.5</v>
      </c>
      <c r="E14" s="49"/>
      <c r="F14" s="50" t="s">
        <v>643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193"/>
      <c r="B15" s="195"/>
      <c r="C15" s="40">
        <v>0.55555555555555558</v>
      </c>
      <c r="D15" s="48">
        <v>0.63888888888888884</v>
      </c>
      <c r="E15" s="49"/>
      <c r="F15" s="50" t="s">
        <v>28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193"/>
      <c r="B16" s="195"/>
      <c r="C16" s="40">
        <v>0.55555555555555558</v>
      </c>
      <c r="D16" s="48">
        <v>0.63888888888888884</v>
      </c>
      <c r="E16" s="49"/>
      <c r="F16" s="50" t="s">
        <v>776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0.70833333333333337</v>
      </c>
      <c r="D17" s="48">
        <v>0.83333333333333337</v>
      </c>
      <c r="E17" s="49"/>
      <c r="F17" s="50" t="s">
        <v>873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s="10" customFormat="1" ht="15" customHeight="1" x14ac:dyDescent="0.3">
      <c r="A18" s="193"/>
      <c r="B18" s="195"/>
      <c r="C18" s="40">
        <v>0.84375</v>
      </c>
      <c r="D18" s="48">
        <v>0.875</v>
      </c>
      <c r="E18" s="49" t="s">
        <v>62</v>
      </c>
      <c r="F18" s="50" t="s">
        <v>912</v>
      </c>
    </row>
    <row r="19" spans="1:24" ht="15" hidden="1" customHeight="1" x14ac:dyDescent="0.3">
      <c r="A19" s="193" t="s">
        <v>0</v>
      </c>
      <c r="B19" s="195" t="s">
        <v>1</v>
      </c>
      <c r="C19" s="44" t="s">
        <v>824</v>
      </c>
      <c r="D19" s="45" t="s">
        <v>2</v>
      </c>
      <c r="E19" s="46" t="s">
        <v>3</v>
      </c>
      <c r="F19" s="47" t="s">
        <v>4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 t="str">
        <f t="shared" ref="A20" si="6">PROPER(TEXT(B20, "dddd"))</f>
        <v>Torsdag</v>
      </c>
      <c r="B20" s="195">
        <f t="shared" ref="B20" si="7">Torsdag17</f>
        <v>45771</v>
      </c>
      <c r="C20" s="40">
        <v>0.375</v>
      </c>
      <c r="D20" s="48">
        <v>0.4375</v>
      </c>
      <c r="E20" s="49" t="s">
        <v>71</v>
      </c>
      <c r="F20" s="50" t="s">
        <v>507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193"/>
      <c r="B21" s="195"/>
      <c r="C21" s="40">
        <v>0.41666666666666669</v>
      </c>
      <c r="D21" s="48">
        <v>0.5</v>
      </c>
      <c r="E21" s="49"/>
      <c r="F21" s="50" t="s">
        <v>238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193"/>
      <c r="B22" s="195"/>
      <c r="C22" s="40">
        <v>0.5625</v>
      </c>
      <c r="D22" s="48">
        <v>0.64583333333333337</v>
      </c>
      <c r="E22" s="49"/>
      <c r="F22" s="50" t="s">
        <v>218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193"/>
      <c r="B23" s="195"/>
      <c r="C23" s="40">
        <v>0.70833333333333337</v>
      </c>
      <c r="D23" s="48">
        <v>0.83333333333333337</v>
      </c>
      <c r="E23" s="49"/>
      <c r="F23" s="50" t="s">
        <v>873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s="10" customFormat="1" ht="15" customHeight="1" x14ac:dyDescent="0.3">
      <c r="A24" s="193"/>
      <c r="B24" s="195"/>
      <c r="C24" s="40">
        <v>0.83333333333333337</v>
      </c>
      <c r="D24" s="48">
        <v>0.875</v>
      </c>
      <c r="E24" s="49" t="s">
        <v>88</v>
      </c>
      <c r="F24" s="50" t="s">
        <v>853</v>
      </c>
    </row>
    <row r="25" spans="1:24" ht="15" hidden="1" customHeight="1" x14ac:dyDescent="0.3">
      <c r="A25" s="193" t="s">
        <v>0</v>
      </c>
      <c r="B25" s="195" t="s">
        <v>1</v>
      </c>
      <c r="C25" s="44" t="s">
        <v>824</v>
      </c>
      <c r="D25" s="45" t="s">
        <v>2</v>
      </c>
      <c r="E25" s="46" t="s">
        <v>3</v>
      </c>
      <c r="F25" s="47" t="s">
        <v>4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 t="str">
        <f t="shared" ref="A26" si="8">PROPER(TEXT(B26, "dddd"))</f>
        <v>Fredag</v>
      </c>
      <c r="B26" s="195">
        <f t="shared" ref="B26" si="9">Fredag17</f>
        <v>45772</v>
      </c>
      <c r="C26" s="40">
        <v>0.375</v>
      </c>
      <c r="D26" s="48">
        <v>0.4375</v>
      </c>
      <c r="E26" s="49" t="s">
        <v>53</v>
      </c>
      <c r="F26" s="50" t="s">
        <v>507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193"/>
      <c r="B27" s="195"/>
      <c r="C27" s="40">
        <v>0.41666666666666669</v>
      </c>
      <c r="D27" s="48">
        <v>0.5</v>
      </c>
      <c r="E27" s="49"/>
      <c r="F27" s="50" t="s">
        <v>629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193"/>
      <c r="B28" s="195"/>
      <c r="C28" s="40">
        <v>0.45833333333333331</v>
      </c>
      <c r="D28" s="48">
        <v>0.54166666666666663</v>
      </c>
      <c r="E28" s="49"/>
      <c r="F28" s="50" t="s">
        <v>800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193"/>
      <c r="B29" s="195"/>
      <c r="C29" s="40">
        <v>0.70833333333333337</v>
      </c>
      <c r="D29" s="48">
        <v>0.83333333333333337</v>
      </c>
      <c r="E29" s="49"/>
      <c r="F29" s="50" t="s">
        <v>873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hidden="1" customHeight="1" x14ac:dyDescent="0.3">
      <c r="A30" s="193" t="s">
        <v>0</v>
      </c>
      <c r="B30" s="195" t="s">
        <v>1</v>
      </c>
      <c r="C30" s="44" t="s">
        <v>824</v>
      </c>
      <c r="D30" s="45" t="s">
        <v>2</v>
      </c>
      <c r="E30" s="46" t="s">
        <v>3</v>
      </c>
      <c r="F30" s="47" t="s">
        <v>4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193" t="str">
        <f t="shared" ref="A31" si="10">PROPER(TEXT(B31, "dddd"))</f>
        <v>Lördag</v>
      </c>
      <c r="B31" s="195">
        <f t="shared" ref="B31" si="11">Lördag17</f>
        <v>45773</v>
      </c>
      <c r="C31" s="40">
        <v>0.375</v>
      </c>
      <c r="D31" s="48">
        <v>0.625</v>
      </c>
      <c r="E31" s="49"/>
      <c r="F31" s="50" t="s">
        <v>873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193"/>
      <c r="B32" s="195"/>
      <c r="C32" s="40">
        <v>0.625</v>
      </c>
      <c r="D32" s="48">
        <v>0.66666666666666663</v>
      </c>
      <c r="E32" s="49"/>
      <c r="F32" s="50" t="s">
        <v>561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193"/>
      <c r="B33" s="195"/>
      <c r="C33" s="40">
        <v>0.66666666666666663</v>
      </c>
      <c r="D33" s="48">
        <v>0.91666666666666663</v>
      </c>
      <c r="E33" s="49" t="s">
        <v>89</v>
      </c>
      <c r="F33" s="50" t="s">
        <v>895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hidden="1" customHeight="1" x14ac:dyDescent="0.3">
      <c r="A34" s="193" t="s">
        <v>0</v>
      </c>
      <c r="B34" s="195" t="s">
        <v>1</v>
      </c>
      <c r="C34" s="44" t="s">
        <v>824</v>
      </c>
      <c r="D34" s="45" t="s">
        <v>2</v>
      </c>
      <c r="E34" s="46" t="s">
        <v>3</v>
      </c>
      <c r="F34" s="47" t="s">
        <v>4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customHeight="1" x14ac:dyDescent="0.3">
      <c r="A35" s="193" t="str">
        <f t="shared" ref="A35" si="12">PROPER(TEXT(B35, "dddd"))</f>
        <v>Söndag</v>
      </c>
      <c r="B35" s="195">
        <f t="shared" ref="B35" si="13">Söndag17</f>
        <v>45774</v>
      </c>
      <c r="C35" s="40">
        <v>0.375</v>
      </c>
      <c r="D35" s="48">
        <v>0.79166666666666663</v>
      </c>
      <c r="E35" s="49"/>
      <c r="F35" s="50" t="s">
        <v>873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7" spans="1:24" ht="15" customHeight="1" x14ac:dyDescent="0.3">
      <c r="C37" s="40"/>
      <c r="D37" s="41"/>
    </row>
    <row r="38" spans="1:24" ht="15" customHeight="1" x14ac:dyDescent="0.3">
      <c r="C38" s="40"/>
      <c r="D38" s="8"/>
    </row>
    <row r="39" spans="1:24" ht="15" customHeight="1" x14ac:dyDescent="0.3">
      <c r="C39" s="40"/>
      <c r="D39" s="8"/>
    </row>
  </sheetData>
  <sheetProtection algorithmName="SHA-512" hashValue="Ydm4CAmOIQqdyANuoQ8eNB0UGB2gkwgBS4rwJjwvXSbB0icFQ0qF6Ajg597XCSoyH1visDDd//wN4nyQRryy/g==" saltValue="Uax6ojnfU4mUgYsG5f/big==" spinCount="100000" sheet="1" objects="1" scenarios="1" autoFilter="0" pivotTables="0"/>
  <sortState xmlns:xlrd2="http://schemas.microsoft.com/office/spreadsheetml/2017/richdata2" ref="A26:F29">
    <sortCondition ref="C26:C29"/>
  </sortState>
  <conditionalFormatting sqref="A26:A29 A3 A31:A33 A35 A5:A17 A19:A24">
    <cfRule type="expression" dxfId="774" priority="4">
      <formula>OR(IF($A2="Dag",1))</formula>
    </cfRule>
  </conditionalFormatting>
  <conditionalFormatting sqref="A20:A24 A26:A29 A5:A10 A12:A18 A3:B3 A31:B33 A35:B35">
    <cfRule type="cellIs" dxfId="773" priority="1" operator="equal">
      <formula>"Datum"</formula>
    </cfRule>
    <cfRule type="cellIs" dxfId="772" priority="2" operator="equal">
      <formula>"Dag"</formula>
    </cfRule>
  </conditionalFormatting>
  <conditionalFormatting sqref="A34">
    <cfRule type="expression" dxfId="771" priority="22">
      <formula>OR(IF(#REF!="Dag",1))</formula>
    </cfRule>
  </conditionalFormatting>
  <conditionalFormatting sqref="A18">
    <cfRule type="expression" dxfId="770" priority="402">
      <formula>OR(IF($A16="Dag",1))</formula>
    </cfRule>
  </conditionalFormatting>
  <conditionalFormatting sqref="A1:B2 A4:B4 A11:B11 A19:B19 B20:B24 A25:B25 B26:B29 A30:B30 A34:B34 A36:B1048576 B5:B10 B12:B18">
    <cfRule type="cellIs" dxfId="769" priority="14" operator="equal">
      <formula>"Datum"</formula>
    </cfRule>
    <cfRule type="cellIs" dxfId="768" priority="15" operator="equal">
      <formula>"Dag"</formula>
    </cfRule>
  </conditionalFormatting>
  <conditionalFormatting sqref="B3 B5:B17 B19:B24 B26:B29 B31:B33 B35">
    <cfRule type="expression" dxfId="767" priority="21">
      <formula>OR(IF($B2="Datum",1))</formula>
    </cfRule>
  </conditionalFormatting>
  <conditionalFormatting sqref="B18">
    <cfRule type="expression" dxfId="766" priority="406">
      <formula>OR(IF($B16="Datum",1))</formula>
    </cfRule>
  </conditionalFormatting>
  <conditionalFormatting sqref="C3:E35">
    <cfRule type="expression" dxfId="765" priority="18">
      <formula>OR(IF($E3="Hela hallen",1))</formula>
    </cfRule>
  </conditionalFormatting>
  <conditionalFormatting sqref="L1:T1048576">
    <cfRule type="cellIs" dxfId="764" priority="13" operator="equal">
      <formula>"-"</formula>
    </cfRule>
  </conditionalFormatting>
  <conditionalFormatting sqref="C3:F35">
    <cfRule type="expression" dxfId="760" priority="2952">
      <formula>OR(IF(#REF!=TRUE,1))</formula>
    </cfRule>
  </conditionalFormatting>
  <conditionalFormatting sqref="A4 A25 A30">
    <cfRule type="expression" dxfId="759" priority="2953">
      <formula>OR(IF(#REF!="Dag",1))</formula>
    </cfRule>
  </conditionalFormatting>
  <conditionalFormatting sqref="B4 B25 B30 B34">
    <cfRule type="expression" dxfId="758" priority="2954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DED44F8-621B-4DEF-B6CF-FBE98C07E06B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A12:A17 A3:B3 A31:B33 A35:B35 A5:B11 A19:B24 A26:B29</xm:sqref>
        </x14:conditionalFormatting>
        <x14:conditionalFormatting xmlns:xm="http://schemas.microsoft.com/office/excel/2006/main">
          <x14:cfRule type="expression" priority="401" id="{DDED44F8-621B-4DEF-B6CF-FBE98C07E06B}">
            <xm:f>AND(IF(ISERROR(MATCH($B18,Kalenderår!$A$3:$A$17,0)),FALSE,TRUE), IF($B16="Datum",TRUE,FALSE), IF($A16="Dag",TRUE,FALSE))</xm:f>
            <x14:dxf>
              <font>
                <color rgb="FFC00000"/>
              </font>
            </x14:dxf>
          </x14:cfRule>
          <xm:sqref>A18:B18</xm:sqref>
        </x14:conditionalFormatting>
        <x14:conditionalFormatting xmlns:xm="http://schemas.microsoft.com/office/excel/2006/main">
          <x14:cfRule type="expression" priority="17" id="{A866BB05-3628-47B2-AD34-2A7E5BD7E88A}">
            <xm:f>AND(IF(ISERROR(MATCH($B12,Kalenderår!$A$3:$A$17,0)),FALSE,TRUE), IF($B11="Datum",TRUE,FALSE), IF($A11="Dag",TRUE,FALSE))</xm:f>
            <x14:dxf>
              <font>
                <color rgb="FFC00000"/>
              </font>
            </x14:dxf>
          </x14:cfRule>
          <xm:sqref>B12:B17</xm:sqref>
        </x14:conditionalFormatting>
        <x14:conditionalFormatting xmlns:xm="http://schemas.microsoft.com/office/excel/2006/main">
          <x14:cfRule type="expression" priority="2961" id="{A866BB05-3628-47B2-AD34-2A7E5BD7E88A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A25:B25 A30:B30 A34:B34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C9DE97-1077-4C61-A619-8CE9D0114D19}">
          <x14:formula1>
            <xm:f>Listor!$A$2:$A$150</xm:f>
          </x14:formula1>
          <xm:sqref>E20:E24 E26:E29 E5:E10 E12:E18 E3 E31:E33 E35</xm:sqref>
        </x14:dataValidation>
        <x14:dataValidation type="list" allowBlank="1" showInputMessage="1" showErrorMessage="1" xr:uid="{D082B1E1-E2DF-44FA-8011-1246C27ED271}">
          <x14:formula1>
            <xm:f>Kontaktuppgifter!$A$2:$A$300</xm:f>
          </x14:formula1>
          <xm:sqref>F20:F24 F26:F29 F5:F10 F12:F18 F3 F31:F33 F35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AE24C-5C4D-4F75-A17A-69657DC41869}">
  <sheetPr codeName="Blad19">
    <pageSetUpPr fitToPage="1"/>
  </sheetPr>
  <dimension ref="A1:Y32"/>
  <sheetViews>
    <sheetView showGridLines="0" zoomScaleNormal="100" workbookViewId="0">
      <pane ySplit="2" topLeftCell="A3" activePane="bottomLeft" state="frozen"/>
      <selection activeCell="C19" sqref="C19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Måndag18</f>
        <v>45775</v>
      </c>
      <c r="W1" s="33">
        <f>Söndag18</f>
        <v>45781</v>
      </c>
      <c r="X1" s="34">
        <f>WEEKNUM(Söndag18, 2)</f>
        <v>18</v>
      </c>
      <c r="Y1" s="35" t="str">
        <f>"V. "&amp;X1&amp;", "&amp;TEXT(V1,"D MMM")&amp;"-"&amp;TEXT(W1,"D MMM")</f>
        <v>V. 18, 28 apr-4 maj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>PROPER(TEXT(B3, "dddd"))</f>
        <v>Måndag</v>
      </c>
      <c r="B3" s="194">
        <f t="shared" ref="B3" si="0">Måndag18</f>
        <v>45775</v>
      </c>
      <c r="C3" s="40">
        <v>0.33333333333333331</v>
      </c>
      <c r="D3" s="41">
        <v>0.41666666666666669</v>
      </c>
      <c r="E3" s="42">
        <v>50</v>
      </c>
      <c r="F3" s="43" t="s">
        <v>716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193"/>
      <c r="B4" s="194"/>
      <c r="C4" s="40">
        <v>0.58333333333333337</v>
      </c>
      <c r="D4" s="41">
        <v>0.625</v>
      </c>
      <c r="E4" s="42">
        <v>50</v>
      </c>
      <c r="F4" s="43" t="s">
        <v>716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193"/>
      <c r="B5" s="194"/>
      <c r="C5" s="40">
        <v>0.66666666666666663</v>
      </c>
      <c r="D5" s="41">
        <v>0.75</v>
      </c>
      <c r="E5" s="42" t="s">
        <v>89</v>
      </c>
      <c r="F5" s="43" t="s">
        <v>710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193" t="s">
        <v>0</v>
      </c>
      <c r="B6" s="195" t="s">
        <v>1</v>
      </c>
      <c r="C6" s="44" t="s">
        <v>824</v>
      </c>
      <c r="D6" s="45" t="s">
        <v>2</v>
      </c>
      <c r="E6" s="46" t="s">
        <v>3</v>
      </c>
      <c r="F6" s="47" t="s">
        <v>4</v>
      </c>
    </row>
    <row r="7" spans="1:25" ht="15" customHeight="1" x14ac:dyDescent="0.3">
      <c r="A7" s="193" t="str">
        <f>PROPER(TEXT(B7, "dddd"))</f>
        <v>Tisdag</v>
      </c>
      <c r="B7" s="195">
        <f t="shared" ref="B7" si="1">Tisdag18</f>
        <v>45776</v>
      </c>
      <c r="C7" s="40">
        <v>0.33333333333333331</v>
      </c>
      <c r="D7" s="48">
        <v>0.39583333333333331</v>
      </c>
      <c r="E7" s="49"/>
      <c r="F7" s="50" t="s">
        <v>508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193"/>
      <c r="B8" s="195"/>
      <c r="C8" s="40">
        <v>0.33333333333333331</v>
      </c>
      <c r="D8" s="48">
        <v>0.375</v>
      </c>
      <c r="E8" s="49">
        <v>50</v>
      </c>
      <c r="F8" s="50" t="s">
        <v>716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193"/>
      <c r="B9" s="195"/>
      <c r="C9" s="40">
        <v>0.375</v>
      </c>
      <c r="D9" s="48">
        <v>0.45833333333333331</v>
      </c>
      <c r="E9" s="49" t="s">
        <v>117</v>
      </c>
      <c r="F9" s="50" t="s">
        <v>507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0.5625</v>
      </c>
      <c r="D10" s="48">
        <v>0.64583333333333337</v>
      </c>
      <c r="E10" s="49"/>
      <c r="F10" s="50" t="s">
        <v>587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0.375</v>
      </c>
      <c r="D11" s="41">
        <v>0.45833333333333331</v>
      </c>
      <c r="E11" s="42" t="s">
        <v>89</v>
      </c>
      <c r="F11" s="43" t="s">
        <v>710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193" t="s">
        <v>0</v>
      </c>
      <c r="B12" s="195" t="s">
        <v>1</v>
      </c>
      <c r="C12" s="44" t="s">
        <v>824</v>
      </c>
      <c r="D12" s="45" t="s">
        <v>2</v>
      </c>
      <c r="E12" s="46" t="s">
        <v>3</v>
      </c>
      <c r="F12" s="47" t="s">
        <v>4</v>
      </c>
    </row>
    <row r="13" spans="1:25" ht="15" customHeight="1" x14ac:dyDescent="0.3">
      <c r="A13" s="193" t="str">
        <f>PROPER(TEXT(B13, "dddd"))</f>
        <v>Onsdag</v>
      </c>
      <c r="B13" s="195">
        <f t="shared" ref="B13" si="2">Onsdag18</f>
        <v>45777</v>
      </c>
      <c r="C13" s="40">
        <v>0.33333333333333331</v>
      </c>
      <c r="D13" s="48">
        <v>0.41666666666666669</v>
      </c>
      <c r="E13" s="49">
        <v>50</v>
      </c>
      <c r="F13" s="50" t="s">
        <v>716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/>
      <c r="B14" s="195"/>
      <c r="C14" s="40">
        <v>0.375</v>
      </c>
      <c r="D14" s="48">
        <v>0.45833333333333331</v>
      </c>
      <c r="E14" s="49"/>
      <c r="F14" s="50" t="s">
        <v>737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193"/>
      <c r="B15" s="195"/>
      <c r="C15" s="40">
        <v>0.41666666666666669</v>
      </c>
      <c r="D15" s="48">
        <v>0.5</v>
      </c>
      <c r="E15" s="49"/>
      <c r="F15" s="50" t="s">
        <v>643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193"/>
      <c r="B16" s="195"/>
      <c r="C16" s="40">
        <v>0.55555555555555558</v>
      </c>
      <c r="D16" s="48">
        <v>0.63888888888888884</v>
      </c>
      <c r="E16" s="49"/>
      <c r="F16" s="50" t="s">
        <v>28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0.55555555555555558</v>
      </c>
      <c r="D17" s="48">
        <v>0.63888888888888884</v>
      </c>
      <c r="E17" s="49"/>
      <c r="F17" s="50" t="s">
        <v>776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s="10" customFormat="1" ht="20.100000000000001" hidden="1" customHeight="1" x14ac:dyDescent="0.3">
      <c r="A18" s="193" t="s">
        <v>0</v>
      </c>
      <c r="B18" s="195" t="s">
        <v>1</v>
      </c>
      <c r="C18" s="44" t="s">
        <v>824</v>
      </c>
      <c r="D18" s="45" t="s">
        <v>2</v>
      </c>
      <c r="E18" s="46" t="s">
        <v>3</v>
      </c>
      <c r="F18" s="47" t="s">
        <v>4</v>
      </c>
    </row>
    <row r="19" spans="1:24" ht="15" customHeight="1" x14ac:dyDescent="0.3">
      <c r="A19" s="193" t="str">
        <f>PROPER(TEXT(B19, "dddd"))</f>
        <v>Torsdag</v>
      </c>
      <c r="B19" s="195">
        <f t="shared" ref="B19" si="3">Torsdag18</f>
        <v>45778</v>
      </c>
      <c r="C19" s="40"/>
      <c r="D19" s="48"/>
      <c r="E19" s="49"/>
      <c r="F19" s="50"/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s="10" customFormat="1" ht="20.100000000000001" hidden="1" customHeight="1" x14ac:dyDescent="0.3">
      <c r="A20" s="193" t="s">
        <v>0</v>
      </c>
      <c r="B20" s="195" t="s">
        <v>1</v>
      </c>
      <c r="C20" s="44" t="s">
        <v>824</v>
      </c>
      <c r="D20" s="45" t="s">
        <v>2</v>
      </c>
      <c r="E20" s="46" t="s">
        <v>3</v>
      </c>
      <c r="F20" s="47" t="s">
        <v>4</v>
      </c>
    </row>
    <row r="21" spans="1:24" ht="15" customHeight="1" x14ac:dyDescent="0.3">
      <c r="A21" s="193" t="str">
        <f>PROPER(TEXT(B21, "dddd"))</f>
        <v>Fredag</v>
      </c>
      <c r="B21" s="195">
        <f t="shared" ref="B21" si="4">Fredag18</f>
        <v>45779</v>
      </c>
      <c r="C21" s="40">
        <v>0.375</v>
      </c>
      <c r="D21" s="48">
        <v>0.4375</v>
      </c>
      <c r="E21" s="49" t="s">
        <v>53</v>
      </c>
      <c r="F21" s="50" t="s">
        <v>507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193"/>
      <c r="B22" s="195"/>
      <c r="C22" s="40">
        <v>0.41666666666666669</v>
      </c>
      <c r="D22" s="48">
        <v>0.5</v>
      </c>
      <c r="E22" s="49"/>
      <c r="F22" s="50" t="s">
        <v>629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193"/>
      <c r="B23" s="195"/>
      <c r="C23" s="40">
        <v>0.45833333333333331</v>
      </c>
      <c r="D23" s="48">
        <v>0.54166666666666663</v>
      </c>
      <c r="E23" s="49"/>
      <c r="F23" s="50" t="s">
        <v>800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s="10" customFormat="1" ht="20.100000000000001" hidden="1" customHeight="1" x14ac:dyDescent="0.3">
      <c r="A24" s="193" t="s">
        <v>0</v>
      </c>
      <c r="B24" s="195" t="s">
        <v>1</v>
      </c>
      <c r="C24" s="44" t="s">
        <v>824</v>
      </c>
      <c r="D24" s="45" t="s">
        <v>2</v>
      </c>
      <c r="E24" s="46" t="s">
        <v>3</v>
      </c>
      <c r="F24" s="47" t="s">
        <v>4</v>
      </c>
    </row>
    <row r="25" spans="1:24" ht="15" customHeight="1" x14ac:dyDescent="0.3">
      <c r="A25" s="193" t="str">
        <f>PROPER(TEXT(B25, "dddd"))</f>
        <v>Lördag</v>
      </c>
      <c r="B25" s="195">
        <f t="shared" ref="B25" si="5">Lördag18</f>
        <v>45780</v>
      </c>
      <c r="C25" s="40">
        <v>0.625</v>
      </c>
      <c r="D25" s="48">
        <v>0.66666666666666663</v>
      </c>
      <c r="E25" s="49"/>
      <c r="F25" s="50" t="s">
        <v>561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/>
      <c r="B26" s="195"/>
      <c r="C26" s="40">
        <v>0.66666666666666663</v>
      </c>
      <c r="D26" s="48">
        <v>0.79166666666666663</v>
      </c>
      <c r="E26" s="49"/>
      <c r="F26" s="50" t="s">
        <v>902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s="10" customFormat="1" ht="20.100000000000001" hidden="1" customHeight="1" x14ac:dyDescent="0.3">
      <c r="A27" s="193" t="s">
        <v>0</v>
      </c>
      <c r="B27" s="195" t="s">
        <v>1</v>
      </c>
      <c r="C27" s="44" t="s">
        <v>824</v>
      </c>
      <c r="D27" s="45" t="s">
        <v>2</v>
      </c>
      <c r="E27" s="46" t="s">
        <v>3</v>
      </c>
      <c r="F27" s="47" t="s">
        <v>4</v>
      </c>
    </row>
    <row r="28" spans="1:24" ht="15" customHeight="1" x14ac:dyDescent="0.3">
      <c r="A28" s="193" t="str">
        <f>PROPER(TEXT(B28, "dddd"))</f>
        <v>Söndag</v>
      </c>
      <c r="B28" s="195">
        <f t="shared" ref="B28" si="6">Söndag18</f>
        <v>45781</v>
      </c>
      <c r="C28" s="40"/>
      <c r="D28" s="48"/>
      <c r="E28" s="49"/>
      <c r="F28" s="50"/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30" spans="1:24" ht="15" customHeight="1" x14ac:dyDescent="0.3">
      <c r="C30" s="40"/>
      <c r="D30" s="41"/>
    </row>
    <row r="31" spans="1:24" ht="15" customHeight="1" x14ac:dyDescent="0.3">
      <c r="C31" s="40"/>
      <c r="D31" s="8"/>
    </row>
    <row r="32" spans="1:24" ht="15" customHeight="1" x14ac:dyDescent="0.3">
      <c r="C32" s="40"/>
      <c r="D32" s="8"/>
    </row>
  </sheetData>
  <sheetProtection algorithmName="SHA-512" hashValue="bWMhCatWdW7LuV0jTNZTXtw0blNM1w8o4F2CRI0lUWQ30E6CS7dCbjKddFd6WZ9pHI1f3B9JMkuSZPdjtSK1eg==" saltValue="yR74gyd/8Y7ZzYupKFuHoQ==" spinCount="100000" sheet="1" objects="1" scenarios="1" autoFilter="0" pivotTables="0"/>
  <conditionalFormatting sqref="A7:A11 A13:A17 A19 A25:A26 A28 A21:A23 A3:A4">
    <cfRule type="expression" dxfId="756" priority="10">
      <formula>OR(IF($A2="Dag",1))</formula>
    </cfRule>
  </conditionalFormatting>
  <conditionalFormatting sqref="A7:A11 A19:B19 A13:B17 A25:B26 A28:B28 A21:B23 A3:B5">
    <cfRule type="cellIs" dxfId="755" priority="7" operator="equal">
      <formula>"Datum"</formula>
    </cfRule>
    <cfRule type="cellIs" dxfId="754" priority="8" operator="equal">
      <formula>"Dag"</formula>
    </cfRule>
  </conditionalFormatting>
  <conditionalFormatting sqref="A27">
    <cfRule type="expression" dxfId="753" priority="28">
      <formula>OR(IF(#REF!="Dag",1))</formula>
    </cfRule>
  </conditionalFormatting>
  <conditionalFormatting sqref="A1:B2 A6:B6 B7:B11 A12:B12 A18:B18 A20:B20 A24:B24 A27:B27 A29:B1048576">
    <cfRule type="cellIs" dxfId="752" priority="20" operator="equal">
      <formula>"Datum"</formula>
    </cfRule>
    <cfRule type="cellIs" dxfId="751" priority="21" operator="equal">
      <formula>"Dag"</formula>
    </cfRule>
  </conditionalFormatting>
  <conditionalFormatting sqref="B3:B4 B7:B11 B13:B17 B19 B21:B23 B25:B26 B28">
    <cfRule type="expression" dxfId="750" priority="27">
      <formula>OR(IF($B2="Datum",1))</formula>
    </cfRule>
  </conditionalFormatting>
  <conditionalFormatting sqref="C3:E4 C6:E10 C12:E28">
    <cfRule type="expression" dxfId="749" priority="24">
      <formula>OR(IF($E3="Hela hallen",1))</formula>
    </cfRule>
  </conditionalFormatting>
  <conditionalFormatting sqref="C5:D5 C11:D11">
    <cfRule type="expression" dxfId="748" priority="22">
      <formula>OR(IF($E5="Hela hallen",1))</formula>
    </cfRule>
  </conditionalFormatting>
  <conditionalFormatting sqref="L1:T1 L29:T1048576">
    <cfRule type="cellIs" dxfId="747" priority="19" operator="equal">
      <formula>"-"</formula>
    </cfRule>
  </conditionalFormatting>
  <conditionalFormatting sqref="E5">
    <cfRule type="expression" dxfId="746" priority="5">
      <formula>OR(IF($E5="Hela hallen",1))</formula>
    </cfRule>
  </conditionalFormatting>
  <conditionalFormatting sqref="E11">
    <cfRule type="expression" dxfId="745" priority="2">
      <formula>OR(IF($E11="Hela hallen",1))</formula>
    </cfRule>
  </conditionalFormatting>
  <conditionalFormatting sqref="A5:A6 A12 A18 A20 A24">
    <cfRule type="expression" dxfId="743" priority="2963">
      <formula>OR(IF(#REF!="Dag",1))</formula>
    </cfRule>
  </conditionalFormatting>
  <conditionalFormatting sqref="B5:B6 B12 B18 B20 B24 B27">
    <cfRule type="expression" dxfId="742" priority="2969">
      <formula>OR(IF(#REF!="Datum",1))</formula>
    </cfRule>
  </conditionalFormatting>
  <conditionalFormatting sqref="C3:F28">
    <cfRule type="expression" dxfId="740" priority="2974">
      <formula>OR(IF(#REF!=TRUE,1))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325F93E-3E0D-4DEA-9313-131DE54FED51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A19:B19 A25:B26 A28:B28 A21:B23 A3:B4 A7:B11 A13:B17</xm:sqref>
        </x14:conditionalFormatting>
        <x14:conditionalFormatting xmlns:xm="http://schemas.microsoft.com/office/excel/2006/main">
          <x14:cfRule type="expression" priority="2973" id="{F325F93E-3E0D-4DEA-9313-131DE54FED51}">
            <xm:f>AND(IF(ISERROR(MATCH($B5,Kalenderår!$A$3:$A$17,0)),FALSE,TRUE),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A5:B6 A12:B12 A18:B18 A20:B20 A24:B24 A27:B27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ECA7550-CB89-485D-BA37-90CE4351B6CD}">
          <x14:formula1>
            <xm:f>Kontaktuppgifter!$A$2:$A$300</xm:f>
          </x14:formula1>
          <xm:sqref>F7:F11 F19 F13:F17 F25:F26 F28 F21:F23 F3:F5</xm:sqref>
        </x14:dataValidation>
        <x14:dataValidation type="list" allowBlank="1" showInputMessage="1" showErrorMessage="1" xr:uid="{242204C2-EA37-4179-AA13-37962FB537C4}">
          <x14:formula1>
            <xm:f>Listor!$A$2:$A$150</xm:f>
          </x14:formula1>
          <xm:sqref>E7:E11 E19 E13:E17 E25:E26 E28 E21:E23 E3:E5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74D1-83E7-421E-912F-0DF7EE8EC9BA}">
  <sheetPr codeName="Blad20">
    <pageSetUpPr fitToPage="1"/>
  </sheetPr>
  <dimension ref="A1:Y36"/>
  <sheetViews>
    <sheetView showGridLines="0" zoomScaleNormal="100" workbookViewId="0">
      <pane ySplit="2" topLeftCell="A10" activePane="bottomLeft" state="frozen"/>
      <selection activeCell="C19" sqref="C19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Måndag19</f>
        <v>45782</v>
      </c>
      <c r="W1" s="33">
        <f>Söndag19</f>
        <v>45788</v>
      </c>
      <c r="X1" s="34">
        <f>WEEKNUM(Söndag19, 2)</f>
        <v>19</v>
      </c>
      <c r="Y1" s="35" t="str">
        <f>"V. "&amp;X1&amp;", "&amp;TEXT(V1,"D MMM")&amp;"-"&amp;TEXT(W1,"D MMM")</f>
        <v>V. 19, 5 maj-11 maj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>PROPER(TEXT(B3, "dddd"))</f>
        <v>Måndag</v>
      </c>
      <c r="B3" s="194">
        <f t="shared" ref="B3" si="0">Måndag19</f>
        <v>45782</v>
      </c>
      <c r="C3" s="40">
        <v>0.33333333333333331</v>
      </c>
      <c r="D3" s="41">
        <v>0.41666666666666669</v>
      </c>
      <c r="E3" s="42">
        <v>50</v>
      </c>
      <c r="F3" s="43" t="s">
        <v>716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193"/>
      <c r="B4" s="194"/>
      <c r="C4" s="40">
        <v>0.58333333333333337</v>
      </c>
      <c r="D4" s="41">
        <v>0.625</v>
      </c>
      <c r="E4" s="42">
        <v>50</v>
      </c>
      <c r="F4" s="43" t="s">
        <v>716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193"/>
      <c r="B5" s="194"/>
      <c r="C5" s="40">
        <v>0.58333333333333337</v>
      </c>
      <c r="D5" s="41">
        <v>0.625</v>
      </c>
      <c r="E5" s="42">
        <v>40</v>
      </c>
      <c r="F5" s="43" t="s">
        <v>234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hidden="1" customHeight="1" x14ac:dyDescent="0.3">
      <c r="A6" s="193" t="s">
        <v>0</v>
      </c>
      <c r="B6" s="195" t="s">
        <v>1</v>
      </c>
      <c r="C6" s="44" t="s">
        <v>824</v>
      </c>
      <c r="D6" s="45" t="s">
        <v>2</v>
      </c>
      <c r="E6" s="46" t="s">
        <v>3</v>
      </c>
      <c r="F6" s="47" t="s">
        <v>4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 t="str">
        <f>PROPER(TEXT(B7, "dddd"))</f>
        <v>Tisdag</v>
      </c>
      <c r="B7" s="195">
        <f t="shared" ref="B7" si="1">Tisdag19</f>
        <v>45783</v>
      </c>
      <c r="C7" s="40">
        <v>0.33333333333333331</v>
      </c>
      <c r="D7" s="48">
        <v>0.39583333333333331</v>
      </c>
      <c r="E7" s="49"/>
      <c r="F7" s="50" t="s">
        <v>508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193"/>
      <c r="B8" s="195"/>
      <c r="C8" s="40">
        <v>0.33333333333333331</v>
      </c>
      <c r="D8" s="48">
        <v>0.375</v>
      </c>
      <c r="E8" s="49">
        <v>50</v>
      </c>
      <c r="F8" s="50" t="s">
        <v>716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193"/>
      <c r="B9" s="195"/>
      <c r="C9" s="40">
        <v>0.375</v>
      </c>
      <c r="D9" s="48">
        <v>0.44791666666666669</v>
      </c>
      <c r="E9" s="49" t="s">
        <v>83</v>
      </c>
      <c r="F9" s="50" t="s">
        <v>507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0.5625</v>
      </c>
      <c r="D10" s="48">
        <v>0.64583333333333337</v>
      </c>
      <c r="E10" s="49"/>
      <c r="F10" s="50" t="s">
        <v>587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0.58333333333333337</v>
      </c>
      <c r="D11" s="48">
        <v>0.625</v>
      </c>
      <c r="E11" s="49">
        <v>40</v>
      </c>
      <c r="F11" s="50" t="s">
        <v>234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hidden="1" customHeight="1" x14ac:dyDescent="0.3">
      <c r="A12" s="193" t="s">
        <v>0</v>
      </c>
      <c r="B12" s="195" t="s">
        <v>1</v>
      </c>
      <c r="C12" s="44" t="s">
        <v>824</v>
      </c>
      <c r="D12" s="45" t="s">
        <v>2</v>
      </c>
      <c r="E12" s="46" t="s">
        <v>3</v>
      </c>
      <c r="F12" s="47" t="s">
        <v>4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 t="str">
        <f t="shared" ref="A13" si="2">PROPER(TEXT(B13, "dddd"))</f>
        <v>Onsdag</v>
      </c>
      <c r="B13" s="195">
        <f t="shared" ref="B13" si="3">Onsdag19</f>
        <v>45784</v>
      </c>
      <c r="C13" s="40">
        <v>0.375</v>
      </c>
      <c r="D13" s="48">
        <v>0.45833333333333331</v>
      </c>
      <c r="E13" s="49"/>
      <c r="F13" s="50" t="s">
        <v>737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/>
      <c r="B14" s="195"/>
      <c r="C14" s="40">
        <v>0.375</v>
      </c>
      <c r="D14" s="48">
        <v>0.41666666666666669</v>
      </c>
      <c r="E14" s="49">
        <v>50</v>
      </c>
      <c r="F14" s="50" t="s">
        <v>716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193"/>
      <c r="B15" s="195"/>
      <c r="C15" s="40">
        <v>0.41666666666666669</v>
      </c>
      <c r="D15" s="48">
        <v>0.5</v>
      </c>
      <c r="E15" s="49"/>
      <c r="F15" s="50" t="s">
        <v>643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193"/>
      <c r="B16" s="195"/>
      <c r="C16" s="40">
        <v>0.55555555555555558</v>
      </c>
      <c r="D16" s="48">
        <v>0.63888888888888884</v>
      </c>
      <c r="E16" s="49"/>
      <c r="F16" s="50" t="s">
        <v>28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0.55555555555555558</v>
      </c>
      <c r="D17" s="48">
        <v>0.63888888888888884</v>
      </c>
      <c r="E17" s="49"/>
      <c r="F17" s="50" t="s">
        <v>776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hidden="1" customHeight="1" x14ac:dyDescent="0.3">
      <c r="A18" s="193" t="s">
        <v>0</v>
      </c>
      <c r="B18" s="195" t="s">
        <v>1</v>
      </c>
      <c r="C18" s="44" t="s">
        <v>824</v>
      </c>
      <c r="D18" s="45" t="s">
        <v>2</v>
      </c>
      <c r="E18" s="46" t="s">
        <v>3</v>
      </c>
      <c r="F18" s="47" t="s">
        <v>4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 t="str">
        <f t="shared" ref="A19" si="4">PROPER(TEXT(B19, "dddd"))</f>
        <v>Torsdag</v>
      </c>
      <c r="B19" s="195">
        <f t="shared" ref="B19" si="5">Torsdag19</f>
        <v>45785</v>
      </c>
      <c r="C19" s="40">
        <v>0.33333333333333331</v>
      </c>
      <c r="D19" s="48">
        <v>0.375</v>
      </c>
      <c r="E19" s="49">
        <v>50</v>
      </c>
      <c r="F19" s="50" t="s">
        <v>716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/>
      <c r="B20" s="195"/>
      <c r="C20" s="40">
        <v>0.375</v>
      </c>
      <c r="D20" s="48">
        <v>0.4375</v>
      </c>
      <c r="E20" s="49" t="s">
        <v>71</v>
      </c>
      <c r="F20" s="50" t="s">
        <v>507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193"/>
      <c r="B21" s="195"/>
      <c r="C21" s="40">
        <v>0.375</v>
      </c>
      <c r="D21" s="48">
        <v>0.54166666666666663</v>
      </c>
      <c r="E21" s="49" t="s">
        <v>117</v>
      </c>
      <c r="F21" s="50" t="s">
        <v>525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193"/>
      <c r="B22" s="195"/>
      <c r="C22" s="40">
        <v>0.41666666666666669</v>
      </c>
      <c r="D22" s="48">
        <v>0.5</v>
      </c>
      <c r="E22" s="49"/>
      <c r="F22" s="50" t="s">
        <v>238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193"/>
      <c r="B23" s="195"/>
      <c r="C23" s="40">
        <v>0.5625</v>
      </c>
      <c r="D23" s="48">
        <v>0.64583333333333337</v>
      </c>
      <c r="E23" s="49"/>
      <c r="F23" s="50" t="s">
        <v>218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hidden="1" customHeight="1" x14ac:dyDescent="0.3">
      <c r="A24" s="193" t="s">
        <v>0</v>
      </c>
      <c r="B24" s="195" t="s">
        <v>1</v>
      </c>
      <c r="C24" s="44" t="s">
        <v>824</v>
      </c>
      <c r="D24" s="45" t="s">
        <v>2</v>
      </c>
      <c r="E24" s="46" t="s">
        <v>3</v>
      </c>
      <c r="F24" s="47" t="s">
        <v>4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 t="str">
        <f>PROPER(TEXT(B25, "dddd"))</f>
        <v>Fredag</v>
      </c>
      <c r="B25" s="195">
        <f t="shared" ref="B25" si="6">Fredag19</f>
        <v>45786</v>
      </c>
      <c r="C25" s="40">
        <v>0.375</v>
      </c>
      <c r="D25" s="48">
        <v>0.4375</v>
      </c>
      <c r="E25" s="49" t="s">
        <v>53</v>
      </c>
      <c r="F25" s="50" t="s">
        <v>507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/>
      <c r="B26" s="195"/>
      <c r="C26" s="40">
        <v>0.41666666666666669</v>
      </c>
      <c r="D26" s="48">
        <v>0.5</v>
      </c>
      <c r="E26" s="49"/>
      <c r="F26" s="50" t="s">
        <v>629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193"/>
      <c r="B27" s="195"/>
      <c r="C27" s="40">
        <v>0.45833333333333331</v>
      </c>
      <c r="D27" s="48">
        <v>0.54166666666666663</v>
      </c>
      <c r="E27" s="49"/>
      <c r="F27" s="50" t="s">
        <v>800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s="10" customFormat="1" ht="15" customHeight="1" x14ac:dyDescent="0.3">
      <c r="A28" s="193"/>
      <c r="B28" s="195"/>
      <c r="C28" s="40">
        <v>0.72916666666666663</v>
      </c>
      <c r="D28" s="48">
        <v>0.77083333333333337</v>
      </c>
      <c r="E28" s="49" t="s">
        <v>53</v>
      </c>
      <c r="F28" s="50" t="s">
        <v>485</v>
      </c>
    </row>
    <row r="29" spans="1:24" ht="15" hidden="1" customHeight="1" x14ac:dyDescent="0.3">
      <c r="A29" s="193" t="s">
        <v>0</v>
      </c>
      <c r="B29" s="195" t="s">
        <v>1</v>
      </c>
      <c r="C29" s="44" t="s">
        <v>824</v>
      </c>
      <c r="D29" s="45" t="s">
        <v>2</v>
      </c>
      <c r="E29" s="46" t="s">
        <v>3</v>
      </c>
      <c r="F29" s="47" t="s">
        <v>4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s="10" customFormat="1" ht="15" customHeight="1" x14ac:dyDescent="0.3">
      <c r="A30" s="193" t="str">
        <f>PROPER(TEXT(B30, "dddd"))</f>
        <v>Lördag</v>
      </c>
      <c r="B30" s="195">
        <f t="shared" ref="B30" si="7">Lördag19</f>
        <v>45787</v>
      </c>
      <c r="C30" s="40">
        <v>0.625</v>
      </c>
      <c r="D30" s="48">
        <v>0.66666666666666663</v>
      </c>
      <c r="E30" s="49"/>
      <c r="F30" s="50" t="s">
        <v>561</v>
      </c>
    </row>
    <row r="31" spans="1:24" ht="15" hidden="1" customHeight="1" x14ac:dyDescent="0.3">
      <c r="A31" s="193" t="s">
        <v>0</v>
      </c>
      <c r="B31" s="195" t="s">
        <v>1</v>
      </c>
      <c r="C31" s="44" t="s">
        <v>824</v>
      </c>
      <c r="D31" s="45" t="s">
        <v>2</v>
      </c>
      <c r="E31" s="46" t="s">
        <v>3</v>
      </c>
      <c r="F31" s="47" t="s">
        <v>4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193" t="str">
        <f>PROPER(TEXT(B32, "dddd"))</f>
        <v>Söndag</v>
      </c>
      <c r="B32" s="195">
        <f t="shared" ref="B32" si="8">Söndag19</f>
        <v>45788</v>
      </c>
      <c r="C32" s="40"/>
      <c r="D32" s="48"/>
      <c r="E32" s="49"/>
      <c r="F32" s="50"/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4" spans="3:4" ht="15" customHeight="1" x14ac:dyDescent="0.3">
      <c r="C34" s="40"/>
      <c r="D34" s="41"/>
    </row>
    <row r="35" spans="3:4" ht="15" customHeight="1" x14ac:dyDescent="0.3">
      <c r="C35" s="40"/>
      <c r="D35" s="8"/>
    </row>
    <row r="36" spans="3:4" ht="15" customHeight="1" x14ac:dyDescent="0.3">
      <c r="C36" s="40"/>
      <c r="D36" s="8"/>
    </row>
  </sheetData>
  <sheetProtection algorithmName="SHA-512" hashValue="HvEIhBEgqNJdyzaUeGLwJCOLfcD9StVhgR7FrbYaAIuoaCJAJFfZN9IQ8vWENmIKpUkU3Vw+HoClNv0+wtZaaQ==" saltValue="e6vf2EhGw3xb/I2KYPB6+w==" spinCount="100000" sheet="1" objects="1" scenarios="1" autoFilter="0" pivotTables="0"/>
  <conditionalFormatting sqref="A19:A23 A3:A4 A25:A27 A30 A32 A6:A11 A14:A17">
    <cfRule type="expression" dxfId="739" priority="4">
      <formula>OR(IF($A2="Dag",1))</formula>
    </cfRule>
  </conditionalFormatting>
  <conditionalFormatting sqref="A7:A11 A19:A23 A30:B30 A32:B32 A25:B28 A3:B5 A13:B17">
    <cfRule type="cellIs" dxfId="738" priority="1" operator="equal">
      <formula>"Datum"</formula>
    </cfRule>
    <cfRule type="cellIs" dxfId="737" priority="2" operator="equal">
      <formula>"Dag"</formula>
    </cfRule>
  </conditionalFormatting>
  <conditionalFormatting sqref="A31">
    <cfRule type="expression" dxfId="736" priority="22">
      <formula>OR(IF(#REF!="Dag",1))</formula>
    </cfRule>
  </conditionalFormatting>
  <conditionalFormatting sqref="A29">
    <cfRule type="expression" dxfId="735" priority="438">
      <formula>OR(IF($A28="Dag",1))</formula>
    </cfRule>
  </conditionalFormatting>
  <conditionalFormatting sqref="A1:B2 A6:B6 B7:B11 A12:B12 A18:B18 B19:B23 A24:B24 A29:B29 A31:B31 A33:B1048576">
    <cfRule type="cellIs" dxfId="734" priority="14" operator="equal">
      <formula>"Datum"</formula>
    </cfRule>
    <cfRule type="cellIs" dxfId="733" priority="15" operator="equal">
      <formula>"Dag"</formula>
    </cfRule>
  </conditionalFormatting>
  <conditionalFormatting sqref="B3:B4 B30 B6:B11 B14:B17 B19:B23 B25:B27 B32">
    <cfRule type="expression" dxfId="732" priority="21">
      <formula>OR(IF($B2="Datum",1))</formula>
    </cfRule>
  </conditionalFormatting>
  <conditionalFormatting sqref="B29">
    <cfRule type="expression" dxfId="731" priority="442">
      <formula>OR(IF($B28="Datum",1))</formula>
    </cfRule>
  </conditionalFormatting>
  <conditionalFormatting sqref="C3:E32">
    <cfRule type="expression" dxfId="730" priority="18">
      <formula>OR(IF($E3="Hela hallen",1))</formula>
    </cfRule>
  </conditionalFormatting>
  <conditionalFormatting sqref="L1:T1048576">
    <cfRule type="cellIs" dxfId="729" priority="13" operator="equal">
      <formula>"-"</formula>
    </cfRule>
  </conditionalFormatting>
  <conditionalFormatting sqref="A28 A5">
    <cfRule type="expression" dxfId="728" priority="1429">
      <formula>OR(IF(#REF!="Dag",1))</formula>
    </cfRule>
  </conditionalFormatting>
  <conditionalFormatting sqref="B28 B5">
    <cfRule type="expression" dxfId="727" priority="1439">
      <formula>OR(IF(#REF!="Datum",1))</formula>
    </cfRule>
  </conditionalFormatting>
  <conditionalFormatting sqref="C3:F32">
    <cfRule type="expression" dxfId="724" priority="2976">
      <formula>OR(IF(#REF!=TRUE,1))</formula>
    </cfRule>
  </conditionalFormatting>
  <conditionalFormatting sqref="A12:A13 A18 A24">
    <cfRule type="expression" dxfId="723" priority="2977">
      <formula>OR(IF(#REF!="Dag",1))</formula>
    </cfRule>
  </conditionalFormatting>
  <conditionalFormatting sqref="B12:B13 B18 B24 B31">
    <cfRule type="expression" dxfId="722" priority="2979">
      <formula>OR(IF(#REF!="Datum",1))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B513C06-6040-4359-8FC5-13BE1164FE14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A3:B4 A25:B27 A32:B32 A6:B11 A14:B17 A19:B23 A29:B30</xm:sqref>
        </x14:conditionalFormatting>
        <x14:conditionalFormatting xmlns:xm="http://schemas.microsoft.com/office/excel/2006/main">
          <x14:cfRule type="expression" priority="1449" id="{5B513C06-6040-4359-8FC5-13BE1164FE14}">
            <xm:f>AND(IF(ISERROR(MATCH($B5,Kalenderår!$A$3:$A$17,0)),FALSE,TRUE),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A5:B5 A28:B28</xm:sqref>
        </x14:conditionalFormatting>
        <x14:conditionalFormatting xmlns:xm="http://schemas.microsoft.com/office/excel/2006/main">
          <x14:cfRule type="expression" priority="2988" id="{93A0F27E-B016-43A2-AF20-EF916B0790CA}">
            <xm:f>AND(IF(ISERROR(MATCH($B12,Kalenderår!$A$3:$A$17,0)),FALSE,TRUE), IF(#REF!="Datum",TRUE,FALSE), IF(#REF!="Dag",TRUE,FALSE))</xm:f>
            <x14:dxf>
              <font>
                <color rgb="FFC00000"/>
              </font>
            </x14:dxf>
          </x14:cfRule>
          <xm:sqref>A12:B13 A18:B18 A24:B24 A31:B31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E6E9EF7-F026-4B25-9F77-80611221E654}">
          <x14:formula1>
            <xm:f>Listor!$A$2:$A$150</xm:f>
          </x14:formula1>
          <xm:sqref>E7:E11 E19:E23 E30 E32 E25:E28 E3:E5 E13:E17</xm:sqref>
        </x14:dataValidation>
        <x14:dataValidation type="list" allowBlank="1" showInputMessage="1" showErrorMessage="1" xr:uid="{3E3BF6C2-3227-4B39-9E46-7B6C7F93EC41}">
          <x14:formula1>
            <xm:f>Kontaktuppgifter!$A$2:$A$300</xm:f>
          </x14:formula1>
          <xm:sqref>F7:F11 F19:F23 F30 F32 F25:F28 F3:F5 F13:F17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7FF18-4565-4310-AFC8-A9E1F8A5210F}">
  <sheetPr codeName="Blad21">
    <pageSetUpPr fitToPage="1"/>
  </sheetPr>
  <dimension ref="A1:Y34"/>
  <sheetViews>
    <sheetView showGridLines="0" zoomScaleNormal="100" workbookViewId="0">
      <pane ySplit="2" topLeftCell="A24" activePane="bottomLeft" state="frozen"/>
      <selection activeCell="C19" sqref="C19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Måndag20</f>
        <v>45789</v>
      </c>
      <c r="W1" s="33">
        <f>Söndag20</f>
        <v>45795</v>
      </c>
      <c r="X1" s="34">
        <f>WEEKNUM(Söndag20, 2)</f>
        <v>20</v>
      </c>
      <c r="Y1" s="35" t="str">
        <f>"V. "&amp;X1&amp;", "&amp;TEXT(V1,"D MMM")&amp;"-"&amp;TEXT(W1,"D MMM")</f>
        <v>V. 20, 12 maj-18 maj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>PROPER(TEXT(B3, "dddd"))</f>
        <v>Måndag</v>
      </c>
      <c r="B3" s="194">
        <f t="shared" ref="B3" si="0">Måndag20</f>
        <v>45789</v>
      </c>
      <c r="C3" s="40">
        <v>0.33333333333333331</v>
      </c>
      <c r="D3" s="41">
        <v>0.41666666666666669</v>
      </c>
      <c r="E3" s="42">
        <v>50</v>
      </c>
      <c r="F3" s="43" t="s">
        <v>716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>PROPER(TEXT(B5, "dddd"))</f>
        <v>Tisdag</v>
      </c>
      <c r="B5" s="195">
        <f t="shared" ref="B5" si="1">Tisdag20</f>
        <v>45790</v>
      </c>
      <c r="C5" s="40">
        <v>0.33333333333333331</v>
      </c>
      <c r="D5" s="48">
        <v>0.39583333333333331</v>
      </c>
      <c r="E5" s="49"/>
      <c r="F5" s="50" t="s">
        <v>508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5"/>
      <c r="C6" s="40">
        <v>0.33333333333333331</v>
      </c>
      <c r="D6" s="48">
        <v>0.375</v>
      </c>
      <c r="E6" s="49">
        <v>50</v>
      </c>
      <c r="F6" s="50" t="s">
        <v>716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/>
      <c r="B7" s="195"/>
      <c r="C7" s="40">
        <v>0.375</v>
      </c>
      <c r="D7" s="48">
        <v>0.44791666666666669</v>
      </c>
      <c r="E7" s="49" t="s">
        <v>83</v>
      </c>
      <c r="F7" s="50" t="s">
        <v>507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193"/>
      <c r="B8" s="195"/>
      <c r="C8" s="40">
        <v>0.5625</v>
      </c>
      <c r="D8" s="48">
        <v>0.64583333333333337</v>
      </c>
      <c r="E8" s="49"/>
      <c r="F8" s="50" t="s">
        <v>587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s="10" customFormat="1" ht="20.100000000000001" hidden="1" customHeight="1" x14ac:dyDescent="0.3">
      <c r="A9" s="193" t="s">
        <v>0</v>
      </c>
      <c r="B9" s="195" t="s">
        <v>1</v>
      </c>
      <c r="C9" s="44" t="s">
        <v>824</v>
      </c>
      <c r="D9" s="45" t="s">
        <v>2</v>
      </c>
      <c r="E9" s="46" t="s">
        <v>3</v>
      </c>
      <c r="F9" s="47" t="s">
        <v>4</v>
      </c>
    </row>
    <row r="10" spans="1:25" ht="15" customHeight="1" x14ac:dyDescent="0.3">
      <c r="A10" s="193" t="str">
        <f>PROPER(TEXT(B10, "dddd"))</f>
        <v>Onsdag</v>
      </c>
      <c r="B10" s="195">
        <f t="shared" ref="B10" si="2">Onsdag20</f>
        <v>45791</v>
      </c>
      <c r="C10" s="40">
        <v>0.33333333333333331</v>
      </c>
      <c r="D10" s="48">
        <v>0.41666666666666669</v>
      </c>
      <c r="E10" s="49">
        <v>50</v>
      </c>
      <c r="F10" s="50" t="s">
        <v>716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0.375</v>
      </c>
      <c r="D11" s="48">
        <v>0.45833333333333331</v>
      </c>
      <c r="E11" s="49"/>
      <c r="F11" s="50" t="s">
        <v>737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0.41666666666666669</v>
      </c>
      <c r="D12" s="48">
        <v>0.5</v>
      </c>
      <c r="E12" s="49"/>
      <c r="F12" s="50" t="s">
        <v>643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0.55555555555555558</v>
      </c>
      <c r="D13" s="48">
        <v>0.63888888888888884</v>
      </c>
      <c r="E13" s="49"/>
      <c r="F13" s="50" t="s">
        <v>28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/>
      <c r="B14" s="195"/>
      <c r="C14" s="40">
        <v>0.55555555555555558</v>
      </c>
      <c r="D14" s="48">
        <v>0.63888888888888884</v>
      </c>
      <c r="E14" s="49"/>
      <c r="F14" s="50" t="s">
        <v>776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s="10" customFormat="1" ht="20.100000000000001" hidden="1" customHeight="1" x14ac:dyDescent="0.3">
      <c r="A15" s="193" t="s">
        <v>0</v>
      </c>
      <c r="B15" s="195" t="s">
        <v>1</v>
      </c>
      <c r="C15" s="44" t="s">
        <v>824</v>
      </c>
      <c r="D15" s="45" t="s">
        <v>2</v>
      </c>
      <c r="E15" s="46" t="s">
        <v>3</v>
      </c>
      <c r="F15" s="47" t="s">
        <v>4</v>
      </c>
    </row>
    <row r="16" spans="1:25" ht="15" customHeight="1" x14ac:dyDescent="0.3">
      <c r="A16" s="193" t="str">
        <f>PROPER(TEXT(B16, "dddd"))</f>
        <v>Torsdag</v>
      </c>
      <c r="B16" s="195">
        <f t="shared" ref="B16" si="3">Torsdag20</f>
        <v>45792</v>
      </c>
      <c r="C16" s="40">
        <v>0.33333333333333331</v>
      </c>
      <c r="D16" s="48">
        <v>0.375</v>
      </c>
      <c r="E16" s="49">
        <v>50</v>
      </c>
      <c r="F16" s="50" t="s">
        <v>716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0.375</v>
      </c>
      <c r="D17" s="48">
        <v>0.4375</v>
      </c>
      <c r="E17" s="49" t="s">
        <v>71</v>
      </c>
      <c r="F17" s="50" t="s">
        <v>507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/>
      <c r="B18" s="195"/>
      <c r="C18" s="40">
        <v>0.41666666666666669</v>
      </c>
      <c r="D18" s="48">
        <v>0.5</v>
      </c>
      <c r="E18" s="49"/>
      <c r="F18" s="50" t="s">
        <v>238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/>
      <c r="B19" s="195"/>
      <c r="C19" s="40">
        <v>0.5625</v>
      </c>
      <c r="D19" s="48">
        <v>0.64583333333333337</v>
      </c>
      <c r="E19" s="49"/>
      <c r="F19" s="50" t="s">
        <v>218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/>
      <c r="B20" s="195"/>
      <c r="C20" s="40">
        <v>0.72916666666666663</v>
      </c>
      <c r="D20" s="48">
        <v>0.875</v>
      </c>
      <c r="E20" s="49" t="s">
        <v>72</v>
      </c>
      <c r="F20" s="50" t="s">
        <v>928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hidden="1" customHeight="1" x14ac:dyDescent="0.3">
      <c r="A21" s="193" t="s">
        <v>0</v>
      </c>
      <c r="B21" s="195" t="s">
        <v>1</v>
      </c>
      <c r="C21" s="44" t="s">
        <v>824</v>
      </c>
      <c r="D21" s="45" t="s">
        <v>2</v>
      </c>
      <c r="E21" s="46" t="s">
        <v>3</v>
      </c>
      <c r="F21" s="47" t="s">
        <v>4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193" t="str">
        <f t="shared" ref="A22" si="4">PROPER(TEXT(B22, "dddd"))</f>
        <v>Fredag</v>
      </c>
      <c r="B22" s="195">
        <f t="shared" ref="B22" si="5">Fredag20</f>
        <v>45793</v>
      </c>
      <c r="C22" s="40">
        <v>0.375</v>
      </c>
      <c r="D22" s="48">
        <v>0.4375</v>
      </c>
      <c r="E22" s="49" t="s">
        <v>53</v>
      </c>
      <c r="F22" s="50" t="s">
        <v>507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193"/>
      <c r="B23" s="195"/>
      <c r="C23" s="40">
        <v>0.375</v>
      </c>
      <c r="D23" s="48">
        <v>0.41666666666666669</v>
      </c>
      <c r="E23" s="49"/>
      <c r="F23" s="50" t="s">
        <v>577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193"/>
      <c r="B24" s="195"/>
      <c r="C24" s="40">
        <v>0.41666666666666669</v>
      </c>
      <c r="D24" s="48">
        <v>0.5</v>
      </c>
      <c r="E24" s="49"/>
      <c r="F24" s="50" t="s">
        <v>629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/>
      <c r="B25" s="195"/>
      <c r="C25" s="40">
        <v>0.45833333333333331</v>
      </c>
      <c r="D25" s="48">
        <v>0.54166666666666663</v>
      </c>
      <c r="E25" s="49"/>
      <c r="F25" s="50" t="s">
        <v>800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s="10" customFormat="1" ht="15" customHeight="1" x14ac:dyDescent="0.3">
      <c r="A26" s="193"/>
      <c r="B26" s="195"/>
      <c r="C26" s="40">
        <v>0.72916666666666663</v>
      </c>
      <c r="D26" s="48">
        <v>0.77083333333333337</v>
      </c>
      <c r="E26" s="49" t="s">
        <v>53</v>
      </c>
      <c r="F26" s="50" t="s">
        <v>485</v>
      </c>
    </row>
    <row r="27" spans="1:24" ht="15" hidden="1" customHeight="1" x14ac:dyDescent="0.3">
      <c r="A27" s="193" t="s">
        <v>0</v>
      </c>
      <c r="B27" s="195" t="s">
        <v>1</v>
      </c>
      <c r="C27" s="44" t="s">
        <v>824</v>
      </c>
      <c r="D27" s="45" t="s">
        <v>2</v>
      </c>
      <c r="E27" s="46" t="s">
        <v>3</v>
      </c>
      <c r="F27" s="47" t="s">
        <v>4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s="10" customFormat="1" ht="15" customHeight="1" x14ac:dyDescent="0.3">
      <c r="A28" s="193" t="str">
        <f>PROPER(TEXT(B28, "dddd"))</f>
        <v>Lördag</v>
      </c>
      <c r="B28" s="195">
        <f t="shared" ref="B28" si="6">Lördag20</f>
        <v>45794</v>
      </c>
      <c r="C28" s="40">
        <v>0.625</v>
      </c>
      <c r="D28" s="48">
        <v>0.66666666666666663</v>
      </c>
      <c r="E28" s="49"/>
      <c r="F28" s="50" t="s">
        <v>561</v>
      </c>
    </row>
    <row r="29" spans="1:24" ht="15" hidden="1" customHeight="1" x14ac:dyDescent="0.3">
      <c r="A29" s="193" t="s">
        <v>0</v>
      </c>
      <c r="B29" s="195" t="s">
        <v>1</v>
      </c>
      <c r="C29" s="44" t="s">
        <v>824</v>
      </c>
      <c r="D29" s="45" t="s">
        <v>2</v>
      </c>
      <c r="E29" s="46" t="s">
        <v>3</v>
      </c>
      <c r="F29" s="47" t="s">
        <v>4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193" t="str">
        <f>PROPER(TEXT(B30, "dddd"))</f>
        <v>Söndag</v>
      </c>
      <c r="B30" s="195">
        <f t="shared" ref="B30" si="7">Söndag20</f>
        <v>45795</v>
      </c>
      <c r="C30" s="40"/>
      <c r="D30" s="48"/>
      <c r="E30" s="49"/>
      <c r="F30" s="50"/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2" spans="1:24" ht="15" customHeight="1" x14ac:dyDescent="0.3">
      <c r="C32" s="40"/>
      <c r="D32" s="41"/>
    </row>
    <row r="33" spans="3:4" ht="15" customHeight="1" x14ac:dyDescent="0.3">
      <c r="C33" s="40"/>
      <c r="D33" s="8"/>
    </row>
    <row r="34" spans="3:4" ht="15" customHeight="1" x14ac:dyDescent="0.3">
      <c r="C34" s="40"/>
      <c r="D34" s="8"/>
    </row>
  </sheetData>
  <sheetProtection algorithmName="SHA-512" hashValue="s4Gh/vwKqtskDmnlG+G2Yel4tTzzKFcRGCSP+Y2cxIKsbIPTIC+F/xVmI0MQaES1VQHDvuy1L6O933aiIOIciQ==" saltValue="b5W9mAti/pSAJRaixebHyQ==" spinCount="100000" sheet="1" objects="1" scenarios="1" autoFilter="0" pivotTables="0"/>
  <conditionalFormatting sqref="A10:A14 A3 A28 A30 A5:A8 A16:A19 A21 A23:A26">
    <cfRule type="expression" dxfId="720" priority="4">
      <formula>OR(IF($A2="Dag",1))</formula>
    </cfRule>
  </conditionalFormatting>
  <conditionalFormatting sqref="A10:A14 A28:B28 A30:B30 A3:B3 A5:B8 A16:B20 A22:B26">
    <cfRule type="cellIs" dxfId="719" priority="1" operator="equal">
      <formula>"Datum"</formula>
    </cfRule>
    <cfRule type="cellIs" dxfId="718" priority="2" operator="equal">
      <formula>"Dag"</formula>
    </cfRule>
  </conditionalFormatting>
  <conditionalFormatting sqref="A29">
    <cfRule type="expression" dxfId="717" priority="22">
      <formula>OR(IF(#REF!="Dag",1))</formula>
    </cfRule>
  </conditionalFormatting>
  <conditionalFormatting sqref="A27">
    <cfRule type="expression" dxfId="716" priority="450">
      <formula>OR(IF($A26="Dag",1))</formula>
    </cfRule>
  </conditionalFormatting>
  <conditionalFormatting sqref="A1:B2 A4:B4 A9:B9 B10:B14 A15:B15 A21:B21 A27:B27 A29:B29 A31:B1048576">
    <cfRule type="cellIs" dxfId="715" priority="14" operator="equal">
      <formula>"Datum"</formula>
    </cfRule>
    <cfRule type="cellIs" dxfId="714" priority="15" operator="equal">
      <formula>"Dag"</formula>
    </cfRule>
  </conditionalFormatting>
  <conditionalFormatting sqref="B3 B28 B5:B8 B10:B14 B16:B19 B21 B23:B26 B30">
    <cfRule type="expression" dxfId="713" priority="21">
      <formula>OR(IF($B2="Datum",1))</formula>
    </cfRule>
  </conditionalFormatting>
  <conditionalFormatting sqref="B27">
    <cfRule type="expression" dxfId="712" priority="454">
      <formula>OR(IF($B26="Datum",1))</formula>
    </cfRule>
  </conditionalFormatting>
  <conditionalFormatting sqref="C3:E30">
    <cfRule type="expression" dxfId="711" priority="18">
      <formula>OR(IF($E3="Hela hallen",1))</formula>
    </cfRule>
  </conditionalFormatting>
  <conditionalFormatting sqref="L1:T1048576">
    <cfRule type="cellIs" dxfId="710" priority="13" operator="equal">
      <formula>"-"</formula>
    </cfRule>
  </conditionalFormatting>
  <conditionalFormatting sqref="C3:F30">
    <cfRule type="expression" dxfId="708" priority="2990">
      <formula>OR(IF(#REF!=TRUE,1))</formula>
    </cfRule>
  </conditionalFormatting>
  <conditionalFormatting sqref="A4 A9 A15 A20 A22">
    <cfRule type="expression" dxfId="707" priority="2991">
      <formula>OR(IF(#REF!="Dag",1))</formula>
    </cfRule>
  </conditionalFormatting>
  <conditionalFormatting sqref="B4 B9 B15 B20 B22 B29">
    <cfRule type="expression" dxfId="706" priority="2992">
      <formula>OR(IF(#REF!="Datum",1))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93E7F1D-BC97-4D40-BF9C-174C7796F549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A30:B30 A3:B3 A5:B8 A10:B14 A16:B19 A21:B21 A23:B28</xm:sqref>
        </x14:conditionalFormatting>
        <x14:conditionalFormatting xmlns:xm="http://schemas.microsoft.com/office/excel/2006/main">
          <x14:cfRule type="expression" priority="2999" id="{21858E99-AC01-429B-AAD3-6270B055A3C1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A9:B9 A15:B15 A20:B20 A22:B22 A29:B29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886D4E-9029-46D8-8A51-E531D13FB098}">
          <x14:formula1>
            <xm:f>Kontaktuppgifter!$A$2:$A$300</xm:f>
          </x14:formula1>
          <xm:sqref>F10:F14 F28 F30 F3 F5:F8 F16:F20 F22:F26</xm:sqref>
        </x14:dataValidation>
        <x14:dataValidation type="list" allowBlank="1" showInputMessage="1" showErrorMessage="1" xr:uid="{1EA850CB-E536-4780-9DA1-701718DB769D}">
          <x14:formula1>
            <xm:f>Listor!$A$2:$A$150</xm:f>
          </x14:formula1>
          <xm:sqref>E10:E14 E28 E30 E3 E5:E8 E16:E20 E22:E26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32749-A732-41E2-B77C-7C464CBD7E4E}">
  <sheetPr codeName="Blad22">
    <pageSetUpPr fitToPage="1"/>
  </sheetPr>
  <dimension ref="A1:Y24"/>
  <sheetViews>
    <sheetView showGridLines="0" zoomScaleNormal="100" workbookViewId="0">
      <pane ySplit="2" topLeftCell="A3" activePane="bottomLeft" state="frozen"/>
      <selection activeCell="C19" sqref="C19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Måndag21</f>
        <v>45796</v>
      </c>
      <c r="W1" s="33">
        <f>Söndag21</f>
        <v>45802</v>
      </c>
      <c r="X1" s="34">
        <f>WEEKNUM(Söndag21, 2)</f>
        <v>21</v>
      </c>
      <c r="Y1" s="35" t="str">
        <f>"V. "&amp;X1&amp;", "&amp;TEXT(V1,"D MMM")&amp;"-"&amp;TEXT(W1,"D MMM")</f>
        <v>V. 21, 19 maj-25 maj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>PROPER(TEXT(B3, "dddd"))</f>
        <v>Måndag</v>
      </c>
      <c r="B3" s="194">
        <f t="shared" ref="B3" si="0">Måndag21</f>
        <v>45796</v>
      </c>
      <c r="C3" s="40">
        <v>0.72916666666666663</v>
      </c>
      <c r="D3" s="41">
        <v>0.875</v>
      </c>
      <c r="E3" s="42" t="s">
        <v>72</v>
      </c>
      <c r="F3" s="43" t="s">
        <v>928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>PROPER(TEXT(B5, "dddd"))</f>
        <v>Tisdag</v>
      </c>
      <c r="B5" s="195">
        <f t="shared" ref="B5" si="1">Tisdag21</f>
        <v>45797</v>
      </c>
      <c r="C5" s="40">
        <v>0.33333333333333331</v>
      </c>
      <c r="D5" s="48">
        <v>0.39583333333333331</v>
      </c>
      <c r="E5" s="49"/>
      <c r="F5" s="50" t="s">
        <v>508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5"/>
      <c r="C6" s="40">
        <v>0.375</v>
      </c>
      <c r="D6" s="48">
        <v>0.44791666666666669</v>
      </c>
      <c r="E6" s="49" t="s">
        <v>83</v>
      </c>
      <c r="F6" s="50" t="s">
        <v>507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s="10" customFormat="1" ht="20.100000000000001" hidden="1" customHeight="1" x14ac:dyDescent="0.3">
      <c r="A7" s="193" t="s">
        <v>0</v>
      </c>
      <c r="B7" s="195" t="s">
        <v>1</v>
      </c>
      <c r="C7" s="44" t="s">
        <v>824</v>
      </c>
      <c r="D7" s="45" t="s">
        <v>2</v>
      </c>
      <c r="E7" s="46" t="s">
        <v>3</v>
      </c>
      <c r="F7" s="47" t="s">
        <v>4</v>
      </c>
    </row>
    <row r="8" spans="1:25" ht="15" customHeight="1" x14ac:dyDescent="0.3">
      <c r="A8" s="193" t="str">
        <f>PROPER(TEXT(B8, "dddd"))</f>
        <v>Onsdag</v>
      </c>
      <c r="B8" s="195">
        <f t="shared" ref="B8" si="2">Onsdag21</f>
        <v>45798</v>
      </c>
      <c r="C8" s="40">
        <v>0.41666666666666669</v>
      </c>
      <c r="D8" s="48">
        <v>0.5</v>
      </c>
      <c r="E8" s="49"/>
      <c r="F8" s="50" t="s">
        <v>643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s="10" customFormat="1" ht="20.100000000000001" hidden="1" customHeight="1" x14ac:dyDescent="0.3">
      <c r="A9" s="193" t="s">
        <v>0</v>
      </c>
      <c r="B9" s="195" t="s">
        <v>1</v>
      </c>
      <c r="C9" s="44" t="s">
        <v>824</v>
      </c>
      <c r="D9" s="45" t="s">
        <v>2</v>
      </c>
      <c r="E9" s="46" t="s">
        <v>3</v>
      </c>
      <c r="F9" s="47" t="s">
        <v>4</v>
      </c>
    </row>
    <row r="10" spans="1:25" ht="15" customHeight="1" x14ac:dyDescent="0.3">
      <c r="A10" s="193" t="str">
        <f>PROPER(TEXT(B10, "dddd"))</f>
        <v>Torsdag</v>
      </c>
      <c r="B10" s="195">
        <f t="shared" ref="B10" si="3">Torsdag21</f>
        <v>45799</v>
      </c>
      <c r="C10" s="40">
        <v>0.33333333333333331</v>
      </c>
      <c r="D10" s="48">
        <v>0.375</v>
      </c>
      <c r="E10" s="49">
        <v>50</v>
      </c>
      <c r="F10" s="50" t="s">
        <v>716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0.375</v>
      </c>
      <c r="D11" s="48">
        <v>0.4375</v>
      </c>
      <c r="E11" s="49" t="s">
        <v>71</v>
      </c>
      <c r="F11" s="50" t="s">
        <v>507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193" t="s">
        <v>0</v>
      </c>
      <c r="B12" s="195" t="s">
        <v>1</v>
      </c>
      <c r="C12" s="44" t="s">
        <v>824</v>
      </c>
      <c r="D12" s="45" t="s">
        <v>2</v>
      </c>
      <c r="E12" s="46" t="s">
        <v>3</v>
      </c>
      <c r="F12" s="47" t="s">
        <v>4</v>
      </c>
    </row>
    <row r="13" spans="1:25" ht="15" customHeight="1" x14ac:dyDescent="0.3">
      <c r="A13" s="193" t="str">
        <f t="shared" ref="A13" si="4">PROPER(TEXT(B13, "dddd"))</f>
        <v>Fredag</v>
      </c>
      <c r="B13" s="195">
        <f t="shared" ref="B13" si="5">Fredag21</f>
        <v>45800</v>
      </c>
      <c r="C13" s="40">
        <v>0.375</v>
      </c>
      <c r="D13" s="48">
        <v>0.4375</v>
      </c>
      <c r="E13" s="49" t="s">
        <v>53</v>
      </c>
      <c r="F13" s="50" t="s">
        <v>507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/>
      <c r="B14" s="195"/>
      <c r="C14" s="40">
        <v>0.72916666666666663</v>
      </c>
      <c r="D14" s="48">
        <v>0.77083333333333337</v>
      </c>
      <c r="E14" s="49" t="s">
        <v>53</v>
      </c>
      <c r="F14" s="50" t="s">
        <v>485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s="10" customFormat="1" ht="20.100000000000001" hidden="1" customHeight="1" x14ac:dyDescent="0.3">
      <c r="A15" s="193" t="s">
        <v>0</v>
      </c>
      <c r="B15" s="195" t="s">
        <v>1</v>
      </c>
      <c r="C15" s="44" t="s">
        <v>824</v>
      </c>
      <c r="D15" s="45" t="s">
        <v>2</v>
      </c>
      <c r="E15" s="46" t="s">
        <v>3</v>
      </c>
      <c r="F15" s="47" t="s">
        <v>4</v>
      </c>
    </row>
    <row r="16" spans="1:25" ht="15" customHeight="1" x14ac:dyDescent="0.3">
      <c r="A16" s="193" t="str">
        <f>PROPER(TEXT(B16, "dddd"))</f>
        <v>Lördag</v>
      </c>
      <c r="B16" s="195">
        <f>Lördag21</f>
        <v>45801</v>
      </c>
      <c r="C16" s="40">
        <v>0.39583333333333331</v>
      </c>
      <c r="D16" s="48">
        <v>0.47916666666666669</v>
      </c>
      <c r="E16" s="49"/>
      <c r="F16" s="50" t="s">
        <v>925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0.5</v>
      </c>
      <c r="D17" s="48">
        <v>0.625</v>
      </c>
      <c r="E17" s="49"/>
      <c r="F17" s="50" t="s">
        <v>908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s="10" customFormat="1" ht="15" customHeight="1" x14ac:dyDescent="0.3">
      <c r="A18" s="193"/>
      <c r="B18" s="195"/>
      <c r="C18" s="40">
        <v>0.625</v>
      </c>
      <c r="D18" s="48">
        <v>0.66666666666666663</v>
      </c>
      <c r="E18" s="49"/>
      <c r="F18" s="50" t="s">
        <v>561</v>
      </c>
    </row>
    <row r="19" spans="1:24" ht="15" hidden="1" customHeight="1" x14ac:dyDescent="0.3">
      <c r="A19" s="193" t="s">
        <v>0</v>
      </c>
      <c r="B19" s="195" t="s">
        <v>1</v>
      </c>
      <c r="C19" s="44" t="s">
        <v>824</v>
      </c>
      <c r="D19" s="45" t="s">
        <v>2</v>
      </c>
      <c r="E19" s="46" t="s">
        <v>3</v>
      </c>
      <c r="F19" s="47" t="s">
        <v>4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 t="str">
        <f>PROPER(TEXT(B20, "dddd"))</f>
        <v>Söndag</v>
      </c>
      <c r="B20" s="195">
        <f t="shared" ref="B20" si="6">Söndag21</f>
        <v>45802</v>
      </c>
      <c r="C20" s="40"/>
      <c r="D20" s="48"/>
      <c r="E20" s="49"/>
      <c r="F20" s="50"/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2" spans="1:24" ht="15" customHeight="1" x14ac:dyDescent="0.3">
      <c r="C22" s="40"/>
      <c r="D22" s="41"/>
    </row>
    <row r="23" spans="1:24" ht="15" customHeight="1" x14ac:dyDescent="0.3">
      <c r="C23" s="40"/>
      <c r="D23" s="8"/>
    </row>
    <row r="24" spans="1:24" ht="15" customHeight="1" x14ac:dyDescent="0.3">
      <c r="C24" s="40"/>
      <c r="D24" s="8"/>
    </row>
  </sheetData>
  <sheetProtection algorithmName="SHA-512" hashValue="L6t3HxqUh5O9DVEqPYBA6jdLCVJS/KPIVJozg3gJk2fyEgnO38mAM3OLMAC973YtNi9IwvjwVL1Ba7vK7RSR8g==" saltValue="6PcZ1aBBxM9qA3QktpwvmQ==" spinCount="100000" sheet="1" objects="1" scenarios="1" autoFilter="0" pivotTables="0"/>
  <conditionalFormatting sqref="A3 A5:A6 A16 A20 A8 A10:A11 A14">
    <cfRule type="cellIs" dxfId="704" priority="1" operator="equal">
      <formula>"Datum"</formula>
    </cfRule>
    <cfRule type="cellIs" dxfId="703" priority="2" operator="equal">
      <formula>"Dag"</formula>
    </cfRule>
    <cfRule type="expression" dxfId="702" priority="4">
      <formula>OR(IF($A2="Dag",1))</formula>
    </cfRule>
  </conditionalFormatting>
  <conditionalFormatting sqref="A15">
    <cfRule type="expression" dxfId="701" priority="22">
      <formula>OR(IF(#REF!="Dag",1))</formula>
    </cfRule>
  </conditionalFormatting>
  <conditionalFormatting sqref="A1:B2 A4:B4 A7:B7 A9:B9 A12:B12 A15:B15 A19:B19 A21:B1048576 B20 B16:B18 B3 B5:B6 B8 B10:B11 B13:B14">
    <cfRule type="cellIs" dxfId="700" priority="14" operator="equal">
      <formula>"Datum"</formula>
    </cfRule>
    <cfRule type="cellIs" dxfId="699" priority="15" operator="equal">
      <formula>"Dag"</formula>
    </cfRule>
  </conditionalFormatting>
  <conditionalFormatting sqref="B3 B20 B5:B6 B8 B10:B11 B14 B16">
    <cfRule type="expression" dxfId="698" priority="21">
      <formula>OR(IF($B2="Datum",1))</formula>
    </cfRule>
  </conditionalFormatting>
  <conditionalFormatting sqref="C3:E20">
    <cfRule type="expression" dxfId="697" priority="18">
      <formula>OR(IF($E3="Hela hallen",1))</formula>
    </cfRule>
  </conditionalFormatting>
  <conditionalFormatting sqref="L1:T1048576">
    <cfRule type="cellIs" dxfId="696" priority="13" operator="equal">
      <formula>"-"</formula>
    </cfRule>
  </conditionalFormatting>
  <conditionalFormatting sqref="A17:A18">
    <cfRule type="cellIs" dxfId="695" priority="965" operator="equal">
      <formula>"Datum"</formula>
    </cfRule>
    <cfRule type="cellIs" dxfId="694" priority="966" operator="equal">
      <formula>"Dag"</formula>
    </cfRule>
    <cfRule type="expression" dxfId="693" priority="967">
      <formula>OR(IF(#REF!="Dag",1))</formula>
    </cfRule>
  </conditionalFormatting>
  <conditionalFormatting sqref="B17:B18">
    <cfRule type="expression" dxfId="692" priority="976">
      <formula>OR(IF(#REF!="Datum",1))</formula>
    </cfRule>
  </conditionalFormatting>
  <conditionalFormatting sqref="A19">
    <cfRule type="expression" dxfId="691" priority="1368">
      <formula>OR(IF($A17="Dag",1))</formula>
    </cfRule>
  </conditionalFormatting>
  <conditionalFormatting sqref="B19">
    <cfRule type="expression" dxfId="690" priority="1371">
      <formula>OR(IF($B17="Datum",1))</formula>
    </cfRule>
  </conditionalFormatting>
  <conditionalFormatting sqref="C3:F20">
    <cfRule type="expression" dxfId="687" priority="3001">
      <formula>OR(IF(#REF!=TRUE,1))</formula>
    </cfRule>
  </conditionalFormatting>
  <conditionalFormatting sqref="A4 A7 A9 A12">
    <cfRule type="expression" dxfId="686" priority="3002">
      <formula>OR(IF(#REF!="Dag",1))</formula>
    </cfRule>
  </conditionalFormatting>
  <conditionalFormatting sqref="B4 B7 B9 B12:B13 B15">
    <cfRule type="expression" dxfId="685" priority="3003">
      <formula>OR(IF(#REF!="Datum",1))</formula>
    </cfRule>
  </conditionalFormatting>
  <conditionalFormatting sqref="A13">
    <cfRule type="cellIs" dxfId="683" priority="3011" operator="equal">
      <formula>"Datum"</formula>
    </cfRule>
    <cfRule type="cellIs" dxfId="682" priority="3012" operator="equal">
      <formula>"Dag"</formula>
    </cfRule>
    <cfRule type="expression" dxfId="681" priority="3013">
      <formula>OR(IF(#REF!="Dag",1))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1165EDB-A83E-4CCA-B581-512CC6592BC5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A16:B16 A20:B20 A5:B6 A8:B8 A10:B11 A14:B14</xm:sqref>
        </x14:conditionalFormatting>
        <x14:conditionalFormatting xmlns:xm="http://schemas.microsoft.com/office/excel/2006/main">
          <x14:cfRule type="expression" priority="985" id="{F1165EDB-A83E-4CCA-B581-512CC6592BC5}">
            <xm:f>AND(IF(ISERROR(MATCH($B17,Kalenderår!$A$3:$A$17,0)),FALSE,TRUE), IF(#REF!="Datum",TRUE,FALSE), IF(#REF!="Dag",TRUE,FALSE))</xm:f>
            <x14:dxf>
              <font>
                <color rgb="FFC00000"/>
              </font>
            </x14:dxf>
          </x14:cfRule>
          <xm:sqref>A17:B18</xm:sqref>
        </x14:conditionalFormatting>
        <x14:conditionalFormatting xmlns:xm="http://schemas.microsoft.com/office/excel/2006/main">
          <x14:cfRule type="expression" priority="3010" id="{A9EA5DD4-C342-400C-A564-8557976F1562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A7:B7 A9:B9 A12:B13 A15:B15</xm:sqref>
        </x14:conditionalFormatting>
        <x14:conditionalFormatting xmlns:xm="http://schemas.microsoft.com/office/excel/2006/main">
          <x14:cfRule type="expression" priority="3020" id="{A9EA5DD4-C342-400C-A564-8557976F1562}">
            <xm:f>AND(IF(ISERROR(MATCH($B19,Kalenderår!$A$3:$A$17,0)),FALSE,TRUE), IF($B17="Datum",TRUE,FALSE), IF($A17="Dag",TRUE,FALSE))</xm:f>
            <x14:dxf>
              <font>
                <color rgb="FFC00000"/>
              </font>
            </x14:dxf>
          </x14:cfRule>
          <xm:sqref>A19:B19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F676E0-B966-4302-9419-67F1E58FCD50}">
          <x14:formula1>
            <xm:f>Listor!$A$2:$A$150</xm:f>
          </x14:formula1>
          <xm:sqref>E20 E16:E18 E3 E5:E6 E8 E10:E11 E13:E14</xm:sqref>
        </x14:dataValidation>
        <x14:dataValidation type="list" allowBlank="1" showInputMessage="1" showErrorMessage="1" xr:uid="{2C876E07-C2B7-4864-AF37-1760F3BDFE4A}">
          <x14:formula1>
            <xm:f>Kontaktuppgifter!$A$2:$A$300</xm:f>
          </x14:formula1>
          <xm:sqref>F20 F16:F18 F3 F5:F6 F8 F10:F11 F13:F14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9894-47B4-44AD-A838-CD6B4F044C53}">
  <sheetPr codeName="Blad23">
    <pageSetUpPr fitToPage="1"/>
  </sheetPr>
  <dimension ref="A1:Y24"/>
  <sheetViews>
    <sheetView showGridLines="0" zoomScaleNormal="100" workbookViewId="0">
      <pane ySplit="2" topLeftCell="A3" activePane="bottomLeft" state="frozen"/>
      <selection activeCell="F5" sqref="F5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Måndag22</f>
        <v>45803</v>
      </c>
      <c r="W1" s="33">
        <f>Söndag22</f>
        <v>45809</v>
      </c>
      <c r="X1" s="34">
        <f>WEEKNUM(Söndag22, 2)</f>
        <v>22</v>
      </c>
      <c r="Y1" s="35" t="str">
        <f>"V. "&amp;X1&amp;", "&amp;TEXT(V1,"D MMM")&amp;"-"&amp;TEXT(W1,"D MMM")</f>
        <v>V. 22, 26 maj-1 jun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>PROPER(TEXT(B3, "dddd"))</f>
        <v>Måndag</v>
      </c>
      <c r="B3" s="194">
        <f>Måndag22</f>
        <v>45803</v>
      </c>
      <c r="C3" s="40">
        <v>0.375</v>
      </c>
      <c r="D3" s="41">
        <v>0.45833333333333331</v>
      </c>
      <c r="E3" s="42" t="s">
        <v>85</v>
      </c>
      <c r="F3" s="43" t="s">
        <v>940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193"/>
      <c r="B4" s="194"/>
      <c r="C4" s="40">
        <v>0.70833333333333337</v>
      </c>
      <c r="D4" s="41">
        <v>0.79166666666666663</v>
      </c>
      <c r="E4" s="42" t="s">
        <v>72</v>
      </c>
      <c r="F4" s="43" t="s">
        <v>935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hidden="1" customHeight="1" x14ac:dyDescent="0.3">
      <c r="A5" s="193" t="s">
        <v>0</v>
      </c>
      <c r="B5" s="195" t="s">
        <v>1</v>
      </c>
      <c r="C5" s="44" t="s">
        <v>824</v>
      </c>
      <c r="D5" s="45" t="s">
        <v>2</v>
      </c>
      <c r="E5" s="46" t="s">
        <v>3</v>
      </c>
      <c r="F5" s="47" t="s">
        <v>4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 t="str">
        <f>PROPER(TEXT(B6, "dddd"))</f>
        <v>Tisdag</v>
      </c>
      <c r="B6" s="195">
        <f>Tisdag22</f>
        <v>45804</v>
      </c>
      <c r="C6" s="40">
        <v>0.33333333333333331</v>
      </c>
      <c r="D6" s="48">
        <v>0.39583333333333331</v>
      </c>
      <c r="E6" s="49"/>
      <c r="F6" s="50" t="s">
        <v>508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/>
      <c r="B7" s="195"/>
      <c r="C7" s="40">
        <v>0.375</v>
      </c>
      <c r="D7" s="48">
        <v>0.44791666666666669</v>
      </c>
      <c r="E7" s="49" t="s">
        <v>83</v>
      </c>
      <c r="F7" s="50" t="s">
        <v>507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193"/>
      <c r="B8" s="195"/>
      <c r="C8" s="40">
        <v>0.375</v>
      </c>
      <c r="D8" s="48">
        <v>0.41666666666666669</v>
      </c>
      <c r="E8" s="49" t="s">
        <v>78</v>
      </c>
      <c r="F8" s="50" t="s">
        <v>347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hidden="1" customHeight="1" x14ac:dyDescent="0.3">
      <c r="A9" s="193" t="s">
        <v>0</v>
      </c>
      <c r="B9" s="195" t="s">
        <v>1</v>
      </c>
      <c r="C9" s="44" t="s">
        <v>824</v>
      </c>
      <c r="D9" s="45" t="s">
        <v>2</v>
      </c>
      <c r="E9" s="46" t="s">
        <v>3</v>
      </c>
      <c r="F9" s="47" t="s">
        <v>4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 t="str">
        <f t="shared" ref="A10" si="0">PROPER(TEXT(B10, "dddd"))</f>
        <v>Onsdag</v>
      </c>
      <c r="B10" s="195">
        <f t="shared" ref="B10" si="1">Onsdag22</f>
        <v>45805</v>
      </c>
      <c r="C10" s="40">
        <v>0.41666666666666669</v>
      </c>
      <c r="D10" s="48">
        <v>0.5</v>
      </c>
      <c r="E10" s="49"/>
      <c r="F10" s="50" t="s">
        <v>643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0.75</v>
      </c>
      <c r="D11" s="48">
        <v>0.79166666666666663</v>
      </c>
      <c r="E11" s="49" t="s">
        <v>58</v>
      </c>
      <c r="F11" s="50" t="s">
        <v>916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hidden="1" customHeight="1" x14ac:dyDescent="0.3">
      <c r="A12" s="193" t="s">
        <v>0</v>
      </c>
      <c r="B12" s="195" t="s">
        <v>1</v>
      </c>
      <c r="C12" s="44" t="s">
        <v>824</v>
      </c>
      <c r="D12" s="45" t="s">
        <v>2</v>
      </c>
      <c r="E12" s="46" t="s">
        <v>3</v>
      </c>
      <c r="F12" s="47" t="s">
        <v>4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s="10" customFormat="1" ht="15" customHeight="1" x14ac:dyDescent="0.3">
      <c r="A13" s="193" t="str">
        <f>PROPER(TEXT(B13, "dddd"))</f>
        <v>Torsdag</v>
      </c>
      <c r="B13" s="195">
        <f t="shared" ref="B13" si="2">Torsdag22</f>
        <v>45806</v>
      </c>
      <c r="C13" s="40"/>
      <c r="D13" s="48"/>
      <c r="E13" s="49"/>
      <c r="F13" s="50"/>
    </row>
    <row r="14" spans="1:25" ht="15" hidden="1" customHeight="1" x14ac:dyDescent="0.3">
      <c r="A14" s="193" t="s">
        <v>0</v>
      </c>
      <c r="B14" s="195" t="s">
        <v>1</v>
      </c>
      <c r="C14" s="44" t="s">
        <v>824</v>
      </c>
      <c r="D14" s="45" t="s">
        <v>2</v>
      </c>
      <c r="E14" s="46" t="s">
        <v>3</v>
      </c>
      <c r="F14" s="47" t="s">
        <v>4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193" t="str">
        <f>PROPER(TEXT(B15, "dddd"))</f>
        <v>Fredag</v>
      </c>
      <c r="B15" s="195">
        <f>Fredag22</f>
        <v>45807</v>
      </c>
      <c r="C15" s="40">
        <v>0.375</v>
      </c>
      <c r="D15" s="48">
        <v>0.4375</v>
      </c>
      <c r="E15" s="49" t="s">
        <v>53</v>
      </c>
      <c r="F15" s="50" t="s">
        <v>507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193"/>
      <c r="B16" s="195"/>
      <c r="C16" s="40">
        <v>0.77083333333333337</v>
      </c>
      <c r="D16" s="48">
        <v>0.8125</v>
      </c>
      <c r="E16" s="49" t="s">
        <v>53</v>
      </c>
      <c r="F16" s="50" t="s">
        <v>485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hidden="1" customHeight="1" x14ac:dyDescent="0.3">
      <c r="A17" s="193" t="s">
        <v>0</v>
      </c>
      <c r="B17" s="195" t="s">
        <v>1</v>
      </c>
      <c r="C17" s="44" t="s">
        <v>824</v>
      </c>
      <c r="D17" s="45" t="s">
        <v>2</v>
      </c>
      <c r="E17" s="46" t="s">
        <v>3</v>
      </c>
      <c r="F17" s="47" t="s">
        <v>4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s="10" customFormat="1" ht="15" customHeight="1" x14ac:dyDescent="0.3">
      <c r="A18" s="193" t="str">
        <f>PROPER(TEXT(B18, "dddd"))</f>
        <v>Lördag</v>
      </c>
      <c r="B18" s="195">
        <f t="shared" ref="B18" si="3">Lördag22</f>
        <v>45808</v>
      </c>
      <c r="C18" s="40">
        <v>0.625</v>
      </c>
      <c r="D18" s="48">
        <v>0.66666666666666663</v>
      </c>
      <c r="E18" s="49"/>
      <c r="F18" s="50" t="s">
        <v>561</v>
      </c>
    </row>
    <row r="19" spans="1:24" ht="15" hidden="1" customHeight="1" x14ac:dyDescent="0.3">
      <c r="A19" s="193" t="s">
        <v>0</v>
      </c>
      <c r="B19" s="195" t="s">
        <v>1</v>
      </c>
      <c r="C19" s="44" t="s">
        <v>824</v>
      </c>
      <c r="D19" s="45" t="s">
        <v>2</v>
      </c>
      <c r="E19" s="46" t="s">
        <v>3</v>
      </c>
      <c r="F19" s="47" t="s">
        <v>4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 t="str">
        <f>PROPER(TEXT(B20, "dddd"))</f>
        <v>Söndag</v>
      </c>
      <c r="B20" s="195">
        <f t="shared" ref="B20" si="4">Söndag22</f>
        <v>45809</v>
      </c>
      <c r="C20" s="40"/>
      <c r="D20" s="48"/>
      <c r="E20" s="49"/>
      <c r="F20" s="50"/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2" spans="1:24" ht="15" customHeight="1" x14ac:dyDescent="0.3">
      <c r="C22" s="40"/>
      <c r="D22" s="41"/>
    </row>
    <row r="23" spans="1:24" ht="15" customHeight="1" x14ac:dyDescent="0.3">
      <c r="C23" s="40"/>
      <c r="D23" s="8"/>
    </row>
    <row r="24" spans="1:24" ht="15" customHeight="1" x14ac:dyDescent="0.3">
      <c r="C24" s="40"/>
      <c r="D24" s="8"/>
    </row>
  </sheetData>
  <sheetProtection algorithmName="SHA-512" hashValue="f1/joWte07Gn8I9uHiZ6Gc9XWOvhX72mo3JrD15PJlfzxaj7DNoA2YNiPOORQQn7M0MuDN3pcRoI14O+7GCkWg==" saltValue="6Row6KMNefpOXxYxL8CWzg==" spinCount="100000" sheet="1" objects="1" scenarios="1" autoFilter="0" pivotTables="0"/>
  <conditionalFormatting sqref="A3 A13 A15:A16 A18 A20 A6:A8 A10:A11">
    <cfRule type="cellIs" dxfId="679" priority="3" operator="equal">
      <formula>"Datum"</formula>
    </cfRule>
    <cfRule type="cellIs" dxfId="678" priority="4" operator="equal">
      <formula>"Dag"</formula>
    </cfRule>
    <cfRule type="expression" dxfId="677" priority="6">
      <formula>OR(IF($A2="Dag",1))</formula>
    </cfRule>
  </conditionalFormatting>
  <conditionalFormatting sqref="A5">
    <cfRule type="expression" dxfId="676" priority="24">
      <formula>OR(IF($A4="Dag",1))</formula>
    </cfRule>
  </conditionalFormatting>
  <conditionalFormatting sqref="A1:B2 A5:B5 A9:B9 A12:B12 A14:B14 A17:B17 A19:B19 A21:B1048576 B13 B18 B20 B3:B4 B6:B8 B10:B11 B15:B16">
    <cfRule type="cellIs" dxfId="675" priority="16" operator="equal">
      <formula>"Datum"</formula>
    </cfRule>
    <cfRule type="cellIs" dxfId="674" priority="17" operator="equal">
      <formula>"Dag"</formula>
    </cfRule>
  </conditionalFormatting>
  <conditionalFormatting sqref="B3 B10:B11 B5:B8 B13 B15:B16 B18 B20">
    <cfRule type="expression" dxfId="673" priority="23">
      <formula>OR(IF($B2="Datum",1))</formula>
    </cfRule>
  </conditionalFormatting>
  <conditionalFormatting sqref="C3:E20">
    <cfRule type="expression" dxfId="672" priority="20">
      <formula>OR(IF($E3="Hela hallen",1))</formula>
    </cfRule>
  </conditionalFormatting>
  <conditionalFormatting sqref="L1:T1048576">
    <cfRule type="cellIs" dxfId="671" priority="15" operator="equal">
      <formula>"-"</formula>
    </cfRule>
  </conditionalFormatting>
  <conditionalFormatting sqref="A4">
    <cfRule type="cellIs" dxfId="670" priority="1554" operator="equal">
      <formula>"Datum"</formula>
    </cfRule>
    <cfRule type="cellIs" dxfId="669" priority="1555" operator="equal">
      <formula>"Dag"</formula>
    </cfRule>
    <cfRule type="expression" dxfId="668" priority="1556">
      <formula>OR(IF(#REF!="Dag",1))</formula>
    </cfRule>
  </conditionalFormatting>
  <conditionalFormatting sqref="B4">
    <cfRule type="expression" dxfId="667" priority="1562">
      <formula>OR(IF(#REF!="Datum",1))</formula>
    </cfRule>
  </conditionalFormatting>
  <conditionalFormatting sqref="A9 A12 A14 A17 A19">
    <cfRule type="expression" dxfId="666" priority="1573">
      <formula>OR(IF(#REF!="Dag",1))</formula>
    </cfRule>
  </conditionalFormatting>
  <conditionalFormatting sqref="B9 B12 B14 B17 B19">
    <cfRule type="expression" dxfId="665" priority="1576">
      <formula>OR(IF(#REF!="Datum",1))</formula>
    </cfRule>
  </conditionalFormatting>
  <conditionalFormatting sqref="C3:F20">
    <cfRule type="expression" dxfId="662" priority="3022">
      <formula>OR(IF(#REF!=TRUE,1))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A41CA6B-7974-4A69-ABA5-88A08F69B286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A13:B13 A18:B18 A20:B20 A15:B16 A5:B8 A10:B11</xm:sqref>
        </x14:conditionalFormatting>
        <x14:conditionalFormatting xmlns:xm="http://schemas.microsoft.com/office/excel/2006/main">
          <x14:cfRule type="expression" priority="1572" id="{6A41CA6B-7974-4A69-ABA5-88A08F69B286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</xm:sqref>
        </x14:conditionalFormatting>
        <x14:conditionalFormatting xmlns:xm="http://schemas.microsoft.com/office/excel/2006/main">
          <x14:cfRule type="expression" priority="3028" id="{6A41CA6B-7974-4A69-ABA5-88A08F69B286}">
            <xm:f>AND(IF(ISERROR(MATCH($B9,Kalenderår!$A$3:$A$17,0)),FALSE,TRUE), IF(#REF!="Datum",TRUE,FALSE), IF(#REF!="Dag",TRUE,FALSE))</xm:f>
            <x14:dxf>
              <font>
                <color rgb="FFC00000"/>
              </font>
            </x14:dxf>
          </x14:cfRule>
          <xm:sqref>A9:B9 A12:B12 A14:B14 A17:B17 A19:B19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67B8DD8-2F8F-40A4-812B-1A068D7393AC}">
          <x14:formula1>
            <xm:f>Kontaktuppgifter!$A$2:$A$300</xm:f>
          </x14:formula1>
          <xm:sqref>F13 F18 F20 F3:F4 F6:F8 F10:F11 F15:F16</xm:sqref>
        </x14:dataValidation>
        <x14:dataValidation type="list" allowBlank="1" showInputMessage="1" showErrorMessage="1" xr:uid="{528FFA15-E50F-4F00-87F9-92B1F6A9AA83}">
          <x14:formula1>
            <xm:f>Listor!$A$2:$A$150</xm:f>
          </x14:formula1>
          <xm:sqref>E13 E18 E20 E3:E4 E6:E8 E10:E11 E15:E16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2A58C-44C4-4862-A2E5-F9BCF08D2767}">
  <sheetPr codeName="Blad24">
    <pageSetUpPr fitToPage="1"/>
  </sheetPr>
  <dimension ref="A1:Y21"/>
  <sheetViews>
    <sheetView showGridLines="0" zoomScaleNormal="100" workbookViewId="0">
      <pane ySplit="2" topLeftCell="A3" activePane="bottomLeft" state="frozen"/>
      <selection activeCell="F5" sqref="F5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Måndag23</f>
        <v>45810</v>
      </c>
      <c r="W1" s="33">
        <f>Söndag23</f>
        <v>45816</v>
      </c>
      <c r="X1" s="34">
        <f>WEEKNUM(Söndag23, 2)</f>
        <v>23</v>
      </c>
      <c r="Y1" s="35" t="str">
        <f>"V. "&amp;X1&amp;", "&amp;TEXT(V1,"D MMM")&amp;"-"&amp;TEXT(W1,"D MMM")</f>
        <v>V. 23, 2 jun-8 jun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>PROPER(TEXT(B3, "dddd"))</f>
        <v>Måndag</v>
      </c>
      <c r="B3" s="194">
        <f t="shared" ref="B3" si="0">Måndag23</f>
        <v>45810</v>
      </c>
      <c r="C3" s="40"/>
      <c r="D3" s="41"/>
      <c r="E3" s="42"/>
      <c r="F3" s="43"/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>PROPER(TEXT(B5, "dddd"))</f>
        <v>Tisdag</v>
      </c>
      <c r="B5" s="195">
        <f t="shared" ref="B5" si="1">Tisdag23</f>
        <v>45811</v>
      </c>
      <c r="C5" s="40">
        <v>0.33333333333333331</v>
      </c>
      <c r="D5" s="48">
        <v>0.39583333333333331</v>
      </c>
      <c r="E5" s="49"/>
      <c r="F5" s="50" t="s">
        <v>508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5"/>
      <c r="C6" s="40">
        <v>0.375</v>
      </c>
      <c r="D6" s="48">
        <v>0.44791666666666669</v>
      </c>
      <c r="E6" s="49" t="s">
        <v>83</v>
      </c>
      <c r="F6" s="50" t="s">
        <v>507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s="10" customFormat="1" ht="20.100000000000001" hidden="1" customHeight="1" x14ac:dyDescent="0.3">
      <c r="A7" s="193" t="s">
        <v>0</v>
      </c>
      <c r="B7" s="195" t="s">
        <v>1</v>
      </c>
      <c r="C7" s="44" t="s">
        <v>824</v>
      </c>
      <c r="D7" s="45" t="s">
        <v>2</v>
      </c>
      <c r="E7" s="46" t="s">
        <v>3</v>
      </c>
      <c r="F7" s="47" t="s">
        <v>4</v>
      </c>
    </row>
    <row r="8" spans="1:25" ht="15" customHeight="1" x14ac:dyDescent="0.3">
      <c r="A8" s="193" t="str">
        <f>PROPER(TEXT(B8, "dddd"))</f>
        <v>Onsdag</v>
      </c>
      <c r="B8" s="195">
        <f t="shared" ref="B8" si="2">Onsdag23</f>
        <v>45812</v>
      </c>
      <c r="C8" s="40"/>
      <c r="D8" s="48"/>
      <c r="E8" s="49"/>
      <c r="F8" s="50"/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s="10" customFormat="1" ht="20.100000000000001" hidden="1" customHeight="1" x14ac:dyDescent="0.3">
      <c r="A9" s="193" t="s">
        <v>0</v>
      </c>
      <c r="B9" s="195" t="s">
        <v>1</v>
      </c>
      <c r="C9" s="44" t="s">
        <v>824</v>
      </c>
      <c r="D9" s="45" t="s">
        <v>2</v>
      </c>
      <c r="E9" s="46" t="s">
        <v>3</v>
      </c>
      <c r="F9" s="47" t="s">
        <v>4</v>
      </c>
    </row>
    <row r="10" spans="1:25" ht="15" customHeight="1" x14ac:dyDescent="0.3">
      <c r="A10" s="193" t="str">
        <f>PROPER(TEXT(B10, "dddd"))</f>
        <v>Torsdag</v>
      </c>
      <c r="B10" s="195">
        <f t="shared" ref="B10" si="3">Torsdag23</f>
        <v>45813</v>
      </c>
      <c r="C10" s="40">
        <v>0.375</v>
      </c>
      <c r="D10" s="48">
        <v>0.4375</v>
      </c>
      <c r="E10" s="49" t="s">
        <v>71</v>
      </c>
      <c r="F10" s="50" t="s">
        <v>507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0.41666666666666669</v>
      </c>
      <c r="D11" s="48">
        <v>0.5</v>
      </c>
      <c r="E11" s="49"/>
      <c r="F11" s="50" t="s">
        <v>238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193" t="s">
        <v>0</v>
      </c>
      <c r="B12" s="195" t="s">
        <v>1</v>
      </c>
      <c r="C12" s="44" t="s">
        <v>824</v>
      </c>
      <c r="D12" s="45" t="s">
        <v>2</v>
      </c>
      <c r="E12" s="46" t="s">
        <v>3</v>
      </c>
      <c r="F12" s="47" t="s">
        <v>4</v>
      </c>
    </row>
    <row r="13" spans="1:25" ht="15" customHeight="1" x14ac:dyDescent="0.3">
      <c r="A13" s="193" t="str">
        <f>PROPER(TEXT(B13, "dddd"))</f>
        <v>Fredag</v>
      </c>
      <c r="B13" s="195">
        <f t="shared" ref="B13" si="4">Fredag23</f>
        <v>45814</v>
      </c>
      <c r="C13" s="40">
        <v>0.72916666666666663</v>
      </c>
      <c r="D13" s="48">
        <v>0.77083333333333337</v>
      </c>
      <c r="E13" s="49" t="s">
        <v>53</v>
      </c>
      <c r="F13" s="50" t="s">
        <v>485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193" t="s">
        <v>0</v>
      </c>
      <c r="B14" s="195" t="s">
        <v>1</v>
      </c>
      <c r="C14" s="44" t="s">
        <v>824</v>
      </c>
      <c r="D14" s="45" t="s">
        <v>2</v>
      </c>
      <c r="E14" s="46" t="s">
        <v>3</v>
      </c>
      <c r="F14" s="47" t="s">
        <v>4</v>
      </c>
    </row>
    <row r="15" spans="1:25" ht="15" customHeight="1" x14ac:dyDescent="0.3">
      <c r="A15" s="193" t="str">
        <f>PROPER(TEXT(B15, "dddd"))</f>
        <v>Lördag</v>
      </c>
      <c r="B15" s="195">
        <f t="shared" ref="B15" si="5">Lördag23</f>
        <v>45815</v>
      </c>
      <c r="C15" s="40">
        <v>0.625</v>
      </c>
      <c r="D15" s="48">
        <v>0.66666666666666663</v>
      </c>
      <c r="E15" s="49"/>
      <c r="F15" s="50" t="s">
        <v>561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s="10" customFormat="1" ht="20.100000000000001" hidden="1" customHeight="1" x14ac:dyDescent="0.3">
      <c r="A16" s="193" t="s">
        <v>0</v>
      </c>
      <c r="B16" s="195" t="s">
        <v>1</v>
      </c>
      <c r="C16" s="44" t="s">
        <v>824</v>
      </c>
      <c r="D16" s="45" t="s">
        <v>2</v>
      </c>
      <c r="E16" s="46" t="s">
        <v>3</v>
      </c>
      <c r="F16" s="47" t="s">
        <v>4</v>
      </c>
    </row>
    <row r="17" spans="1:24" ht="15" customHeight="1" x14ac:dyDescent="0.3">
      <c r="A17" s="193" t="str">
        <f>PROPER(TEXT(B17, "dddd"))</f>
        <v>Söndag</v>
      </c>
      <c r="B17" s="195">
        <f t="shared" ref="B17" si="6">Söndag23</f>
        <v>45816</v>
      </c>
      <c r="C17" s="40"/>
      <c r="D17" s="48"/>
      <c r="E17" s="49"/>
      <c r="F17" s="50"/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9" spans="1:24" ht="15" customHeight="1" x14ac:dyDescent="0.3">
      <c r="C19" s="40"/>
      <c r="D19" s="41"/>
    </row>
    <row r="20" spans="1:24" ht="15" customHeight="1" x14ac:dyDescent="0.3">
      <c r="C20" s="40"/>
      <c r="D20" s="8"/>
    </row>
    <row r="21" spans="1:24" ht="15" customHeight="1" x14ac:dyDescent="0.3">
      <c r="C21" s="40"/>
      <c r="D21" s="8"/>
    </row>
  </sheetData>
  <sheetProtection algorithmName="SHA-512" hashValue="AoZTfSKi6vexPtB2Dv67QVjbL+4oPUIffHq6y4e0eY+/mEis6Zp4VCQbIzTxkYyWyTj4Yo7VLQztTFZDvUHlkw==" saltValue="l2GDwqWkhpWWlFbiUGsDIQ==" spinCount="100000" sheet="1" objects="1" scenarios="1" autoFilter="0" pivotTables="0"/>
  <conditionalFormatting sqref="A3 A5:A6 A8 A10:A11 A13 A15 A17">
    <cfRule type="cellIs" dxfId="660" priority="1" operator="equal">
      <formula>"Datum"</formula>
    </cfRule>
    <cfRule type="cellIs" dxfId="659" priority="2" operator="equal">
      <formula>"Dag"</formula>
    </cfRule>
    <cfRule type="expression" dxfId="658" priority="4">
      <formula>OR(IF($A2="Dag",1))</formula>
    </cfRule>
  </conditionalFormatting>
  <conditionalFormatting sqref="A16">
    <cfRule type="expression" dxfId="657" priority="22">
      <formula>OR(IF(#REF!="Dag",1))</formula>
    </cfRule>
  </conditionalFormatting>
  <conditionalFormatting sqref="A1:B2 A4:B4 A7:B7 A9:B9 A12:B12 A14:B14 A16:B16 A18:B1048576 B3 B5:B6 B8 B10:B11 B13 B15 B17">
    <cfRule type="cellIs" dxfId="656" priority="14" operator="equal">
      <formula>"Datum"</formula>
    </cfRule>
    <cfRule type="cellIs" dxfId="655" priority="15" operator="equal">
      <formula>"Dag"</formula>
    </cfRule>
  </conditionalFormatting>
  <conditionalFormatting sqref="B3 B5:B6 B8 B10:B11 B13 B15 B17">
    <cfRule type="expression" dxfId="654" priority="21">
      <formula>OR(IF($B2="Datum",1))</formula>
    </cfRule>
  </conditionalFormatting>
  <conditionalFormatting sqref="C3:E17">
    <cfRule type="expression" dxfId="653" priority="18">
      <formula>OR(IF($E3="Hela hallen",1))</formula>
    </cfRule>
  </conditionalFormatting>
  <conditionalFormatting sqref="L1:T1048576">
    <cfRule type="cellIs" dxfId="652" priority="13" operator="equal">
      <formula>"-"</formula>
    </cfRule>
  </conditionalFormatting>
  <conditionalFormatting sqref="C3:F17">
    <cfRule type="expression" dxfId="650" priority="3030">
      <formula>OR(IF(#REF!=TRUE,1))</formula>
    </cfRule>
  </conditionalFormatting>
  <conditionalFormatting sqref="A4 A7 A9 A12 A14">
    <cfRule type="expression" dxfId="649" priority="3031">
      <formula>OR(IF(#REF!="Dag",1))</formula>
    </cfRule>
  </conditionalFormatting>
  <conditionalFormatting sqref="B4 B7 B9 B12 B14 B16">
    <cfRule type="expression" dxfId="648" priority="3032">
      <formula>OR(IF(#REF!="Datum",1))</formula>
    </cfRule>
  </conditionalFormatting>
  <printOptions horizontalCentered="1" verticalCentered="1"/>
  <pageMargins left="0.25" right="0.25" top="0.75" bottom="0.75" header="0.3" footer="0.3"/>
  <pageSetup paperSize="8" scale="26" orientation="portrait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0C4C408-D173-4321-A20E-EB72CAFB0FC5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A5:B6 A8:B8 A10:B11 A13:B13 A15:B15 A17:B17</xm:sqref>
        </x14:conditionalFormatting>
        <x14:conditionalFormatting xmlns:xm="http://schemas.microsoft.com/office/excel/2006/main">
          <x14:cfRule type="expression" priority="3039" id="{80D7FD35-7497-4016-A31D-141D38EFB47F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A7:B7 A9:B9 A12:B12 A14:B14 A16:B16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E48999-58F9-44C4-B63A-4573E21BED76}">
          <x14:formula1>
            <xm:f>Listor!$A$2:$A$150</xm:f>
          </x14:formula1>
          <xm:sqref>E3 E5:E6 E8 E10:E11 E13 E15 E17</xm:sqref>
        </x14:dataValidation>
        <x14:dataValidation type="list" allowBlank="1" showInputMessage="1" showErrorMessage="1" xr:uid="{F81713F9-CD67-42D2-B8A5-A312AEB3BC30}">
          <x14:formula1>
            <xm:f>Kontaktuppgifter!$A$2:$A$300</xm:f>
          </x14:formula1>
          <xm:sqref>F3 F5:F6 F8 F10:F11 F13 F15 F17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8679D-EAFD-468E-86A6-DD7CD206FA5B}">
  <sheetPr codeName="Blad25">
    <pageSetUpPr fitToPage="1"/>
  </sheetPr>
  <dimension ref="A1:Y21"/>
  <sheetViews>
    <sheetView showGridLines="0" zoomScaleNormal="100" workbookViewId="0">
      <pane ySplit="2" topLeftCell="A3" activePane="bottomLeft" state="frozen"/>
      <selection activeCell="F5" sqref="F5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Måndag24</f>
        <v>45817</v>
      </c>
      <c r="W1" s="33">
        <f>Söndag24</f>
        <v>45823</v>
      </c>
      <c r="X1" s="34">
        <f>WEEKNUM(Söndag24, 2)</f>
        <v>24</v>
      </c>
      <c r="Y1" s="35" t="str">
        <f>"V. "&amp;X1&amp;", "&amp;TEXT(V1,"D MMM")&amp;"-"&amp;TEXT(W1,"D MMM")</f>
        <v>V. 24, 9 jun-15 jun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>PROPER(TEXT(B3, "dddd"))</f>
        <v>Måndag</v>
      </c>
      <c r="B3" s="194">
        <f t="shared" ref="B3" si="0">Måndag24</f>
        <v>45817</v>
      </c>
      <c r="C3" s="40">
        <v>0.75</v>
      </c>
      <c r="D3" s="41">
        <v>0.83333333333333337</v>
      </c>
      <c r="E3" s="42" t="s">
        <v>72</v>
      </c>
      <c r="F3" s="43" t="s">
        <v>935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>PROPER(TEXT(B5, "dddd"))</f>
        <v>Tisdag</v>
      </c>
      <c r="B5" s="195">
        <f t="shared" ref="B5" si="1">Tisdag24</f>
        <v>45818</v>
      </c>
      <c r="C5" s="40">
        <v>0.33333333333333331</v>
      </c>
      <c r="D5" s="48">
        <v>0.39583333333333331</v>
      </c>
      <c r="E5" s="49"/>
      <c r="F5" s="50" t="s">
        <v>508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5"/>
      <c r="C6" s="40">
        <v>0.375</v>
      </c>
      <c r="D6" s="48">
        <v>0.44791666666666669</v>
      </c>
      <c r="E6" s="49" t="s">
        <v>83</v>
      </c>
      <c r="F6" s="50" t="s">
        <v>507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s="10" customFormat="1" ht="20.100000000000001" hidden="1" customHeight="1" x14ac:dyDescent="0.3">
      <c r="A7" s="193" t="s">
        <v>0</v>
      </c>
      <c r="B7" s="195" t="s">
        <v>1</v>
      </c>
      <c r="C7" s="44" t="s">
        <v>824</v>
      </c>
      <c r="D7" s="45" t="s">
        <v>2</v>
      </c>
      <c r="E7" s="46" t="s">
        <v>3</v>
      </c>
      <c r="F7" s="47" t="s">
        <v>4</v>
      </c>
    </row>
    <row r="8" spans="1:25" ht="15" customHeight="1" x14ac:dyDescent="0.3">
      <c r="A8" s="193" t="str">
        <f>PROPER(TEXT(B8, "dddd"))</f>
        <v>Onsdag</v>
      </c>
      <c r="B8" s="195">
        <f t="shared" ref="B8" si="2">Onsdag24</f>
        <v>45819</v>
      </c>
      <c r="C8" s="40"/>
      <c r="D8" s="48"/>
      <c r="E8" s="49"/>
      <c r="F8" s="50"/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s="10" customFormat="1" ht="20.100000000000001" hidden="1" customHeight="1" x14ac:dyDescent="0.3">
      <c r="A9" s="193" t="s">
        <v>0</v>
      </c>
      <c r="B9" s="195" t="s">
        <v>1</v>
      </c>
      <c r="C9" s="44" t="s">
        <v>824</v>
      </c>
      <c r="D9" s="45" t="s">
        <v>2</v>
      </c>
      <c r="E9" s="46" t="s">
        <v>3</v>
      </c>
      <c r="F9" s="47" t="s">
        <v>4</v>
      </c>
    </row>
    <row r="10" spans="1:25" ht="15" customHeight="1" x14ac:dyDescent="0.3">
      <c r="A10" s="193" t="str">
        <f>PROPER(TEXT(B10, "dddd"))</f>
        <v>Torsdag</v>
      </c>
      <c r="B10" s="195">
        <f t="shared" ref="B10" si="3">Torsdag24</f>
        <v>45820</v>
      </c>
      <c r="C10" s="40">
        <v>0.375</v>
      </c>
      <c r="D10" s="48">
        <v>0.4375</v>
      </c>
      <c r="E10" s="49" t="s">
        <v>71</v>
      </c>
      <c r="F10" s="50" t="s">
        <v>507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s="10" customFormat="1" ht="20.100000000000001" hidden="1" customHeight="1" x14ac:dyDescent="0.3">
      <c r="A11" s="193" t="s">
        <v>0</v>
      </c>
      <c r="B11" s="195" t="s">
        <v>1</v>
      </c>
      <c r="C11" s="44" t="s">
        <v>824</v>
      </c>
      <c r="D11" s="45" t="s">
        <v>2</v>
      </c>
      <c r="E11" s="46" t="s">
        <v>3</v>
      </c>
      <c r="F11" s="47" t="s">
        <v>4</v>
      </c>
    </row>
    <row r="12" spans="1:25" ht="15" customHeight="1" x14ac:dyDescent="0.3">
      <c r="A12" s="193" t="str">
        <f>PROPER(TEXT(B12, "dddd"))</f>
        <v>Fredag</v>
      </c>
      <c r="B12" s="195">
        <f t="shared" ref="B12" si="4">Fredag24</f>
        <v>45821</v>
      </c>
      <c r="C12" s="40">
        <v>0.375</v>
      </c>
      <c r="D12" s="48">
        <v>0.4375</v>
      </c>
      <c r="E12" s="49" t="s">
        <v>53</v>
      </c>
      <c r="F12" s="50" t="s">
        <v>507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0.72916666666666663</v>
      </c>
      <c r="D13" s="48">
        <v>0.77083333333333337</v>
      </c>
      <c r="E13" s="49" t="s">
        <v>53</v>
      </c>
      <c r="F13" s="50" t="s">
        <v>485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hidden="1" customHeight="1" x14ac:dyDescent="0.3">
      <c r="A14" s="193" t="s">
        <v>0</v>
      </c>
      <c r="B14" s="195" t="s">
        <v>1</v>
      </c>
      <c r="C14" s="44" t="s">
        <v>824</v>
      </c>
      <c r="D14" s="45" t="s">
        <v>2</v>
      </c>
      <c r="E14" s="46" t="s">
        <v>3</v>
      </c>
      <c r="F14" s="47" t="s">
        <v>4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193" t="str">
        <f>PROPER(TEXT(B15, "dddd"))</f>
        <v>Lördag</v>
      </c>
      <c r="B15" s="195">
        <f t="shared" ref="B15" si="5">Lördag24</f>
        <v>45822</v>
      </c>
      <c r="C15" s="40"/>
      <c r="D15" s="48"/>
      <c r="E15" s="49"/>
      <c r="F15" s="50"/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hidden="1" customHeight="1" x14ac:dyDescent="0.3">
      <c r="A16" s="193" t="s">
        <v>0</v>
      </c>
      <c r="B16" s="195" t="s">
        <v>1</v>
      </c>
      <c r="C16" s="44" t="s">
        <v>824</v>
      </c>
      <c r="D16" s="45" t="s">
        <v>2</v>
      </c>
      <c r="E16" s="46" t="s">
        <v>3</v>
      </c>
      <c r="F16" s="47" t="s">
        <v>4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 t="str">
        <f>PROPER(TEXT(B17, "dddd"))</f>
        <v>Söndag</v>
      </c>
      <c r="B17" s="195">
        <f t="shared" ref="B17" si="6">Söndag24</f>
        <v>45823</v>
      </c>
      <c r="C17" s="40">
        <v>0.54166666666666663</v>
      </c>
      <c r="D17" s="48">
        <v>0.66666666666666663</v>
      </c>
      <c r="E17" s="49">
        <v>50</v>
      </c>
      <c r="F17" s="50" t="s">
        <v>675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9" spans="1:24" ht="15" customHeight="1" x14ac:dyDescent="0.3">
      <c r="C19" s="40"/>
      <c r="D19" s="41"/>
    </row>
    <row r="20" spans="1:24" ht="15" customHeight="1" x14ac:dyDescent="0.3">
      <c r="C20" s="40"/>
      <c r="D20" s="8"/>
    </row>
    <row r="21" spans="1:24" ht="15" customHeight="1" x14ac:dyDescent="0.3">
      <c r="C21" s="40"/>
      <c r="D21" s="8"/>
    </row>
  </sheetData>
  <sheetProtection algorithmName="SHA-512" hashValue="1pEiC3+lbfu0lP8WSmMUgyGtw1mKfhSrQ1FcGMwH/uLoblSNY/083IfA7/o0xUg9dj5wNtPbttoLcOeUdtxVkg==" saltValue="a2KClgD0L9o2w+cfE9YNjg==" spinCount="100000" sheet="1" objects="1" scenarios="1" autoFilter="0" pivotTables="0"/>
  <conditionalFormatting sqref="A3 A5:A6 A8 A10 A12 A15 A17">
    <cfRule type="cellIs" dxfId="646" priority="1" operator="equal">
      <formula>"Datum"</formula>
    </cfRule>
    <cfRule type="cellIs" dxfId="645" priority="2" operator="equal">
      <formula>"Dag"</formula>
    </cfRule>
    <cfRule type="expression" dxfId="644" priority="4">
      <formula>OR(IF($A2="Dag",1))</formula>
    </cfRule>
  </conditionalFormatting>
  <conditionalFormatting sqref="A16">
    <cfRule type="expression" dxfId="643" priority="22">
      <formula>OR(IF(#REF!="Dag",1))</formula>
    </cfRule>
  </conditionalFormatting>
  <conditionalFormatting sqref="A1:B2 A4:B4 A7:B7 A9:B9 A11:B11 A14:B14 A16:B16 A18:B1048576 B3 B5:B6 B8 B10 B15 B17 B12:B13">
    <cfRule type="cellIs" dxfId="642" priority="14" operator="equal">
      <formula>"Datum"</formula>
    </cfRule>
    <cfRule type="cellIs" dxfId="641" priority="15" operator="equal">
      <formula>"Dag"</formula>
    </cfRule>
  </conditionalFormatting>
  <conditionalFormatting sqref="B3 B15 B5:B6 B8 B10 B12 B17">
    <cfRule type="expression" dxfId="640" priority="21">
      <formula>OR(IF($B2="Datum",1))</formula>
    </cfRule>
  </conditionalFormatting>
  <conditionalFormatting sqref="C3:E17">
    <cfRule type="expression" dxfId="639" priority="18">
      <formula>OR(IF($E3="Hela hallen",1))</formula>
    </cfRule>
  </conditionalFormatting>
  <conditionalFormatting sqref="L1:T1048576">
    <cfRule type="cellIs" dxfId="638" priority="13" operator="equal">
      <formula>"-"</formula>
    </cfRule>
  </conditionalFormatting>
  <conditionalFormatting sqref="A13">
    <cfRule type="cellIs" dxfId="637" priority="1635" operator="equal">
      <formula>"Datum"</formula>
    </cfRule>
    <cfRule type="cellIs" dxfId="636" priority="1636" operator="equal">
      <formula>"Dag"</formula>
    </cfRule>
    <cfRule type="expression" dxfId="635" priority="1637">
      <formula>OR(IF(#REF!="Dag",1))</formula>
    </cfRule>
  </conditionalFormatting>
  <conditionalFormatting sqref="B13">
    <cfRule type="expression" dxfId="634" priority="1643">
      <formula>OR(IF(#REF!="Datum",1))</formula>
    </cfRule>
  </conditionalFormatting>
  <conditionalFormatting sqref="A14">
    <cfRule type="expression" dxfId="633" priority="1674">
      <formula>OR(IF($A13="Dag",1))</formula>
    </cfRule>
  </conditionalFormatting>
  <conditionalFormatting sqref="B14">
    <cfRule type="expression" dxfId="632" priority="1677">
      <formula>OR(IF($B13="Datum",1))</formula>
    </cfRule>
  </conditionalFormatting>
  <conditionalFormatting sqref="C3:F17">
    <cfRule type="expression" dxfId="629" priority="3041">
      <formula>OR(IF(#REF!=TRUE,1))</formula>
    </cfRule>
  </conditionalFormatting>
  <conditionalFormatting sqref="A4 A7 A9 A11">
    <cfRule type="expression" dxfId="628" priority="3042">
      <formula>OR(IF(#REF!="Dag",1))</formula>
    </cfRule>
  </conditionalFormatting>
  <conditionalFormatting sqref="B4 B7 B9 B11 B16">
    <cfRule type="expression" dxfId="627" priority="3043">
      <formula>OR(IF(#REF!="Datum",1))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F75EDA9-2DBE-4A78-B460-2913C9E102EC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A5:B6 A8:B8 A10:B10 A12:B12 A17:B17 A14:B15</xm:sqref>
        </x14:conditionalFormatting>
        <x14:conditionalFormatting xmlns:xm="http://schemas.microsoft.com/office/excel/2006/main">
          <x14:cfRule type="expression" priority="1652" id="{0F75EDA9-2DBE-4A78-B460-2913C9E102EC}">
            <xm:f>AND(IF(ISERROR(MATCH($B13,Kalenderår!$A$3:$A$17,0)),FALSE,TRUE), IF(#REF!="Datum",TRUE,FALSE), IF(#REF!="Dag",TRUE,FALSE))</xm:f>
            <x14:dxf>
              <font>
                <color rgb="FFC00000"/>
              </font>
            </x14:dxf>
          </x14:cfRule>
          <xm:sqref>A13:B13</xm:sqref>
        </x14:conditionalFormatting>
        <x14:conditionalFormatting xmlns:xm="http://schemas.microsoft.com/office/excel/2006/main">
          <x14:cfRule type="expression" priority="3050" id="{04A9FFA7-180E-42D3-8F18-02F6B01F22A9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A7:B7 A9:B9 A11:B11 A16:B16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65BE03A-C577-4FEC-AF70-5DF5B94498AD}">
          <x14:formula1>
            <xm:f>Kontaktuppgifter!$A$2:$A$300</xm:f>
          </x14:formula1>
          <xm:sqref>F3 F5:F6 F8 F10 F15 F17 F12:F13</xm:sqref>
        </x14:dataValidation>
        <x14:dataValidation type="list" allowBlank="1" showInputMessage="1" showErrorMessage="1" xr:uid="{5F052BB8-F826-49BB-A3FF-B05AC9DB5932}">
          <x14:formula1>
            <xm:f>Listor!$A$2:$A$150</xm:f>
          </x14:formula1>
          <xm:sqref>E3 E5:E6 E8 E10 E15 E17 E12:E13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B9FF2-E257-4090-91F9-0881C90B2216}">
  <sheetPr codeName="Blad26">
    <pageSetUpPr fitToPage="1"/>
  </sheetPr>
  <dimension ref="A1:Y19"/>
  <sheetViews>
    <sheetView showGridLines="0" zoomScaleNormal="100" workbookViewId="0">
      <pane ySplit="2" topLeftCell="A3" activePane="bottomLeft" state="frozen"/>
      <selection activeCell="F5" sqref="F5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Måndag25</f>
        <v>45824</v>
      </c>
      <c r="W1" s="33">
        <f>Söndag25</f>
        <v>45830</v>
      </c>
      <c r="X1" s="34">
        <f>WEEKNUM(Söndag25, 2)</f>
        <v>25</v>
      </c>
      <c r="Y1" s="35" t="str">
        <f>"V. "&amp;X1&amp;", "&amp;TEXT(V1,"D MMM")&amp;"-"&amp;TEXT(W1,"D MMM")</f>
        <v>V. 25, 16 jun-22 jun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>PROPER(TEXT(B3, "dddd"))</f>
        <v>Måndag</v>
      </c>
      <c r="B3" s="194">
        <f t="shared" ref="B3" si="0">Måndag25</f>
        <v>45824</v>
      </c>
      <c r="C3" s="40">
        <v>0.54166666666666663</v>
      </c>
      <c r="D3" s="41">
        <v>0.58333333333333337</v>
      </c>
      <c r="E3" s="42" t="s">
        <v>84</v>
      </c>
      <c r="F3" s="43" t="s">
        <v>946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>PROPER(TEXT(B5, "dddd"))</f>
        <v>Tisdag</v>
      </c>
      <c r="B5" s="195">
        <f t="shared" ref="B5" si="1">Tisdag25</f>
        <v>45825</v>
      </c>
      <c r="C5" s="40"/>
      <c r="D5" s="48"/>
      <c r="E5" s="49"/>
      <c r="F5" s="50"/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193" t="s">
        <v>0</v>
      </c>
      <c r="B6" s="195" t="s">
        <v>1</v>
      </c>
      <c r="C6" s="44" t="s">
        <v>824</v>
      </c>
      <c r="D6" s="45" t="s">
        <v>2</v>
      </c>
      <c r="E6" s="46" t="s">
        <v>3</v>
      </c>
      <c r="F6" s="47" t="s">
        <v>4</v>
      </c>
    </row>
    <row r="7" spans="1:25" ht="15" customHeight="1" x14ac:dyDescent="0.3">
      <c r="A7" s="193" t="str">
        <f>PROPER(TEXT(B7, "dddd"))</f>
        <v>Onsdag</v>
      </c>
      <c r="B7" s="195">
        <f t="shared" ref="B7" si="2">Onsdag25</f>
        <v>45826</v>
      </c>
      <c r="C7" s="40"/>
      <c r="D7" s="48"/>
      <c r="E7" s="49"/>
      <c r="F7" s="50"/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193" t="s">
        <v>0</v>
      </c>
      <c r="B8" s="195" t="s">
        <v>1</v>
      </c>
      <c r="C8" s="44" t="s">
        <v>824</v>
      </c>
      <c r="D8" s="45" t="s">
        <v>2</v>
      </c>
      <c r="E8" s="46" t="s">
        <v>3</v>
      </c>
      <c r="F8" s="47" t="s">
        <v>4</v>
      </c>
    </row>
    <row r="9" spans="1:25" ht="15" customHeight="1" x14ac:dyDescent="0.3">
      <c r="A9" s="193" t="str">
        <f>PROPER(TEXT(B9, "dddd"))</f>
        <v>Torsdag</v>
      </c>
      <c r="B9" s="195">
        <f t="shared" ref="B9" si="3">Torsdag25</f>
        <v>45827</v>
      </c>
      <c r="C9" s="40"/>
      <c r="D9" s="48"/>
      <c r="E9" s="49"/>
      <c r="F9" s="50"/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s="10" customFormat="1" ht="20.100000000000001" hidden="1" customHeight="1" x14ac:dyDescent="0.3">
      <c r="A10" s="193" t="s">
        <v>0</v>
      </c>
      <c r="B10" s="195" t="s">
        <v>1</v>
      </c>
      <c r="C10" s="44" t="s">
        <v>824</v>
      </c>
      <c r="D10" s="45" t="s">
        <v>2</v>
      </c>
      <c r="E10" s="46" t="s">
        <v>3</v>
      </c>
      <c r="F10" s="47" t="s">
        <v>4</v>
      </c>
    </row>
    <row r="11" spans="1:25" ht="15" customHeight="1" x14ac:dyDescent="0.3">
      <c r="A11" s="193" t="str">
        <f>PROPER(TEXT(B11, "dddd"))</f>
        <v>Fredag</v>
      </c>
      <c r="B11" s="195">
        <f t="shared" ref="B11" si="4">Fredag25</f>
        <v>45828</v>
      </c>
      <c r="C11" s="40"/>
      <c r="D11" s="48"/>
      <c r="E11" s="49"/>
      <c r="F11" s="50"/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193" t="s">
        <v>0</v>
      </c>
      <c r="B12" s="195" t="s">
        <v>1</v>
      </c>
      <c r="C12" s="44" t="s">
        <v>824</v>
      </c>
      <c r="D12" s="45" t="s">
        <v>2</v>
      </c>
      <c r="E12" s="46" t="s">
        <v>3</v>
      </c>
      <c r="F12" s="47" t="s">
        <v>4</v>
      </c>
    </row>
    <row r="13" spans="1:25" ht="15" customHeight="1" x14ac:dyDescent="0.3">
      <c r="A13" s="193" t="str">
        <f>PROPER(TEXT(B13, "dddd"))</f>
        <v>Lördag</v>
      </c>
      <c r="B13" s="195">
        <f t="shared" ref="B13" si="5">Lördag25</f>
        <v>45829</v>
      </c>
      <c r="C13" s="40"/>
      <c r="D13" s="48"/>
      <c r="E13" s="49"/>
      <c r="F13" s="50"/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193" t="s">
        <v>0</v>
      </c>
      <c r="B14" s="195" t="s">
        <v>1</v>
      </c>
      <c r="C14" s="44" t="s">
        <v>824</v>
      </c>
      <c r="D14" s="45" t="s">
        <v>2</v>
      </c>
      <c r="E14" s="46" t="s">
        <v>3</v>
      </c>
      <c r="F14" s="47" t="s">
        <v>4</v>
      </c>
    </row>
    <row r="15" spans="1:25" ht="15" customHeight="1" x14ac:dyDescent="0.3">
      <c r="A15" s="193" t="str">
        <f>PROPER(TEXT(B15, "dddd"))</f>
        <v>Söndag</v>
      </c>
      <c r="B15" s="195">
        <f t="shared" ref="B15" si="6">Söndag25</f>
        <v>45830</v>
      </c>
      <c r="C15" s="40"/>
      <c r="D15" s="48"/>
      <c r="E15" s="49"/>
      <c r="F15" s="50"/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7" spans="3:4" ht="15" customHeight="1" x14ac:dyDescent="0.3">
      <c r="C17" s="40"/>
      <c r="D17" s="41"/>
    </row>
    <row r="18" spans="3:4" ht="15" customHeight="1" x14ac:dyDescent="0.3">
      <c r="C18" s="40"/>
      <c r="D18" s="8"/>
    </row>
    <row r="19" spans="3:4" ht="15" customHeight="1" x14ac:dyDescent="0.3">
      <c r="C19" s="40"/>
      <c r="D19" s="8"/>
    </row>
  </sheetData>
  <sheetProtection algorithmName="SHA-512" hashValue="nvFWy5EYTfdP2xBEA1Qcovt2h7St7dI1Cf9DkXeCXOc9wy6bcXrhJG7S6Y2xta6BiO9QM3DvxNbNOMbkvdx66w==" saltValue="v3tWue4/uZkvPIJV3NoAfQ==" spinCount="100000" sheet="1" objects="1" scenarios="1" autoFilter="0" pivotTables="0"/>
  <conditionalFormatting sqref="A3 A5 A7 A9 A11 A13 A15">
    <cfRule type="cellIs" dxfId="625" priority="1" operator="equal">
      <formula>"Datum"</formula>
    </cfRule>
    <cfRule type="cellIs" dxfId="624" priority="2" operator="equal">
      <formula>"Dag"</formula>
    </cfRule>
    <cfRule type="expression" dxfId="623" priority="4">
      <formula>OR(IF($A2="Dag",1))</formula>
    </cfRule>
  </conditionalFormatting>
  <conditionalFormatting sqref="A14">
    <cfRule type="expression" dxfId="622" priority="22">
      <formula>OR(IF(#REF!="Dag",1))</formula>
    </cfRule>
  </conditionalFormatting>
  <conditionalFormatting sqref="A1:B2 A4:B4 A6:B6 A8:B8 A10:B10 A12:B12 A14:B14 A16:B1048576 B3 B5 B7 B9 B11 B13 B15">
    <cfRule type="cellIs" dxfId="621" priority="14" operator="equal">
      <formula>"Datum"</formula>
    </cfRule>
    <cfRule type="cellIs" dxfId="620" priority="15" operator="equal">
      <formula>"Dag"</formula>
    </cfRule>
  </conditionalFormatting>
  <conditionalFormatting sqref="B3 B5 B7 B9 B11 B13 B15">
    <cfRule type="expression" dxfId="619" priority="21">
      <formula>OR(IF($B2="Datum",1))</formula>
    </cfRule>
  </conditionalFormatting>
  <conditionalFormatting sqref="C3:E15">
    <cfRule type="expression" dxfId="618" priority="18">
      <formula>OR(IF($E3="Hela hallen",1))</formula>
    </cfRule>
  </conditionalFormatting>
  <conditionalFormatting sqref="L1:T1048576">
    <cfRule type="cellIs" dxfId="617" priority="13" operator="equal">
      <formula>"-"</formula>
    </cfRule>
  </conditionalFormatting>
  <conditionalFormatting sqref="C3:F15">
    <cfRule type="expression" dxfId="615" priority="3052">
      <formula>OR(IF(#REF!=TRUE,1))</formula>
    </cfRule>
  </conditionalFormatting>
  <conditionalFormatting sqref="A4 A6 A8 A10 A12">
    <cfRule type="expression" dxfId="614" priority="3053">
      <formula>OR(IF(#REF!="Dag",1))</formula>
    </cfRule>
  </conditionalFormatting>
  <conditionalFormatting sqref="B4 B6 B8 B10 B12 B14">
    <cfRule type="expression" dxfId="613" priority="3054">
      <formula>OR(IF(#REF!="Datum",1))</formula>
    </cfRule>
  </conditionalFormatting>
  <printOptions horizontalCentered="1" verticalCentered="1"/>
  <pageMargins left="0.25" right="0.25" top="0.75" bottom="0.75" header="0.3" footer="0.3"/>
  <pageSetup paperSize="8" scale="26" orientation="portrait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A6CE703-AF0D-4D63-A69A-FBA3AED09A3D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A7:B7 A9:B9 A11:B11 A13:B13 A15:B15 A5:B5</xm:sqref>
        </x14:conditionalFormatting>
        <x14:conditionalFormatting xmlns:xm="http://schemas.microsoft.com/office/excel/2006/main">
          <x14:cfRule type="expression" priority="3061" id="{9F4A3E6F-1CF2-4A4A-9AFC-F51D17317AA0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A6:B6 A8:B8 A10:B10 A12:B12 A14:B14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F82AA6-BD9F-4D40-9B63-5FD8FAE3931A}">
          <x14:formula1>
            <xm:f>Listor!$A$2:$A$150</xm:f>
          </x14:formula1>
          <xm:sqref>E3 E5 E7 E9 E11 E13 E15</xm:sqref>
        </x14:dataValidation>
        <x14:dataValidation type="list" allowBlank="1" showInputMessage="1" showErrorMessage="1" xr:uid="{24DB284D-FA6B-4379-B064-F8337F9FA5E6}">
          <x14:formula1>
            <xm:f>Kontaktuppgifter!$A$2:$A$300</xm:f>
          </x14:formula1>
          <xm:sqref>F3 F5 F7 F9 F11 F13 F15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17B4-1770-4E0C-A1E7-ABF2C4D80706}">
  <sheetPr codeName="Blad59">
    <pageSetUpPr fitToPage="1"/>
  </sheetPr>
  <dimension ref="A1:Y19"/>
  <sheetViews>
    <sheetView showGridLines="0" zoomScaleNormal="100" workbookViewId="0">
      <pane ySplit="2" topLeftCell="A3" activePane="bottomLeft" state="frozen"/>
      <selection activeCell="F5" sqref="F5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Måndag26</f>
        <v>45831</v>
      </c>
      <c r="W1" s="33">
        <f>Söndag26</f>
        <v>45837</v>
      </c>
      <c r="X1" s="34">
        <f>WEEKNUM(Söndag26, 2)</f>
        <v>26</v>
      </c>
      <c r="Y1" s="35" t="str">
        <f>"V. "&amp;X1&amp;", "&amp;TEXT(V1,"D MMM")&amp;"-"&amp;TEXT(W1,"D MMM")</f>
        <v>V. 26, 23 jun-29 jun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>PROPER(TEXT(B3, "dddd"))</f>
        <v>Måndag</v>
      </c>
      <c r="B3" s="194">
        <f>Måndag26</f>
        <v>45831</v>
      </c>
      <c r="C3" s="40">
        <v>0.375</v>
      </c>
      <c r="D3" s="41">
        <v>0.45833333333333331</v>
      </c>
      <c r="E3" s="42" t="s">
        <v>85</v>
      </c>
      <c r="F3" s="43" t="s">
        <v>940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>PROPER(TEXT(B5, "dddd"))</f>
        <v>Tisdag</v>
      </c>
      <c r="B5" s="195">
        <f>Tisdag26</f>
        <v>45832</v>
      </c>
      <c r="C5" s="40"/>
      <c r="D5" s="48"/>
      <c r="E5" s="49"/>
      <c r="F5" s="50"/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193" t="s">
        <v>0</v>
      </c>
      <c r="B6" s="195" t="s">
        <v>1</v>
      </c>
      <c r="C6" s="44" t="s">
        <v>824</v>
      </c>
      <c r="D6" s="45" t="s">
        <v>2</v>
      </c>
      <c r="E6" s="46" t="s">
        <v>3</v>
      </c>
      <c r="F6" s="47" t="s">
        <v>4</v>
      </c>
    </row>
    <row r="7" spans="1:25" ht="15" customHeight="1" x14ac:dyDescent="0.3">
      <c r="A7" s="193" t="str">
        <f t="shared" ref="A7" si="0">PROPER(TEXT(B7, "dddd"))</f>
        <v>Onsdag</v>
      </c>
      <c r="B7" s="195">
        <f>Onsdag26</f>
        <v>45833</v>
      </c>
      <c r="C7" s="40"/>
      <c r="D7" s="48"/>
      <c r="E7" s="49"/>
      <c r="F7" s="50"/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193" t="s">
        <v>0</v>
      </c>
      <c r="B8" s="195" t="s">
        <v>1</v>
      </c>
      <c r="C8" s="44" t="s">
        <v>824</v>
      </c>
      <c r="D8" s="45" t="s">
        <v>2</v>
      </c>
      <c r="E8" s="46" t="s">
        <v>3</v>
      </c>
      <c r="F8" s="47" t="s">
        <v>4</v>
      </c>
    </row>
    <row r="9" spans="1:25" ht="15" customHeight="1" x14ac:dyDescent="0.3">
      <c r="A9" s="193" t="str">
        <f>PROPER(TEXT(B9, "dddd"))</f>
        <v>Torsdag</v>
      </c>
      <c r="B9" s="195">
        <f>Torsdag26</f>
        <v>45834</v>
      </c>
      <c r="C9" s="40">
        <v>0.70833333333333337</v>
      </c>
      <c r="D9" s="48">
        <v>0.79166666666666663</v>
      </c>
      <c r="E9" s="49"/>
      <c r="F9" s="50" t="s">
        <v>951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s="10" customFormat="1" ht="20.100000000000001" hidden="1" customHeight="1" x14ac:dyDescent="0.3">
      <c r="A10" s="193" t="s">
        <v>0</v>
      </c>
      <c r="B10" s="195" t="s">
        <v>1</v>
      </c>
      <c r="C10" s="44" t="s">
        <v>824</v>
      </c>
      <c r="D10" s="45" t="s">
        <v>2</v>
      </c>
      <c r="E10" s="46" t="s">
        <v>3</v>
      </c>
      <c r="F10" s="47" t="s">
        <v>4</v>
      </c>
    </row>
    <row r="11" spans="1:25" ht="15" customHeight="1" x14ac:dyDescent="0.3">
      <c r="A11" s="193" t="str">
        <f>PROPER(TEXT(B11, "dddd"))</f>
        <v>Fredag</v>
      </c>
      <c r="B11" s="195">
        <f>Fredag26</f>
        <v>45835</v>
      </c>
      <c r="C11" s="40">
        <v>0.72916666666666663</v>
      </c>
      <c r="D11" s="48">
        <v>0.77083333333333337</v>
      </c>
      <c r="E11" s="49" t="s">
        <v>53</v>
      </c>
      <c r="F11" s="50" t="s">
        <v>485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193" t="s">
        <v>0</v>
      </c>
      <c r="B12" s="195" t="s">
        <v>1</v>
      </c>
      <c r="C12" s="44" t="s">
        <v>824</v>
      </c>
      <c r="D12" s="45" t="s">
        <v>2</v>
      </c>
      <c r="E12" s="46" t="s">
        <v>3</v>
      </c>
      <c r="F12" s="47" t="s">
        <v>4</v>
      </c>
    </row>
    <row r="13" spans="1:25" ht="15" customHeight="1" x14ac:dyDescent="0.3">
      <c r="A13" s="193" t="str">
        <f>PROPER(TEXT(B13, "dddd"))</f>
        <v>Lördag</v>
      </c>
      <c r="B13" s="195">
        <f>Lördag26</f>
        <v>45836</v>
      </c>
      <c r="C13" s="40"/>
      <c r="D13" s="48"/>
      <c r="E13" s="49"/>
      <c r="F13" s="50"/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193" t="s">
        <v>0</v>
      </c>
      <c r="B14" s="195" t="s">
        <v>1</v>
      </c>
      <c r="C14" s="44" t="s">
        <v>824</v>
      </c>
      <c r="D14" s="45" t="s">
        <v>2</v>
      </c>
      <c r="E14" s="46" t="s">
        <v>3</v>
      </c>
      <c r="F14" s="47" t="s">
        <v>4</v>
      </c>
    </row>
    <row r="15" spans="1:25" ht="15" customHeight="1" x14ac:dyDescent="0.3">
      <c r="A15" s="193" t="str">
        <f>PROPER(TEXT(B15, "dddd"))</f>
        <v>Söndag</v>
      </c>
      <c r="B15" s="195">
        <f>Söndag26</f>
        <v>45837</v>
      </c>
      <c r="C15" s="40"/>
      <c r="D15" s="48"/>
      <c r="E15" s="49"/>
      <c r="F15" s="50"/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7" spans="3:4" ht="15" customHeight="1" x14ac:dyDescent="0.3">
      <c r="C17" s="40"/>
      <c r="D17" s="41"/>
    </row>
    <row r="18" spans="3:4" ht="15" customHeight="1" x14ac:dyDescent="0.3">
      <c r="C18" s="40"/>
      <c r="D18" s="8"/>
    </row>
    <row r="19" spans="3:4" ht="15" customHeight="1" x14ac:dyDescent="0.3">
      <c r="C19" s="40"/>
      <c r="D19" s="8"/>
    </row>
  </sheetData>
  <sheetProtection algorithmName="SHA-512" hashValue="mIO2x6KqzF+PNnJkd3LQGWLrSV21pshmMKDJh6XcMZONgERujsXmxA7HlPVH2PBephPchWN+tMsU6mpbm6cdVg==" saltValue="ba3DYyCY3rdCuEClCH5iCg==" spinCount="100000" sheet="1" objects="1" scenarios="1" autoFilter="0" pivotTables="0"/>
  <conditionalFormatting sqref="A3 A5 A9 A11 A13 A15">
    <cfRule type="cellIs" dxfId="611" priority="1" operator="equal">
      <formula>"Datum"</formula>
    </cfRule>
    <cfRule type="cellIs" dxfId="610" priority="2" operator="equal">
      <formula>"Dag"</formula>
    </cfRule>
    <cfRule type="expression" dxfId="609" priority="4">
      <formula>OR(IF($A2="Dag",1))</formula>
    </cfRule>
  </conditionalFormatting>
  <conditionalFormatting sqref="A8">
    <cfRule type="expression" dxfId="608" priority="12">
      <formula>OR(IF($A7="Dag",1))</formula>
    </cfRule>
  </conditionalFormatting>
  <conditionalFormatting sqref="A1:B2 A4:B4 A6:B6 A8:B8 A10:B10 A12:B12 A14:B14 A16:B1048576 B3 B5 B9 B11 B13 B15 B7">
    <cfRule type="cellIs" dxfId="607" priority="6" operator="equal">
      <formula>"Datum"</formula>
    </cfRule>
    <cfRule type="cellIs" dxfId="606" priority="7" operator="equal">
      <formula>"Dag"</formula>
    </cfRule>
  </conditionalFormatting>
  <conditionalFormatting sqref="B3 B8:B9 B5 B11 B13 B15">
    <cfRule type="expression" dxfId="605" priority="11">
      <formula>OR(IF($B2="Datum",1))</formula>
    </cfRule>
  </conditionalFormatting>
  <conditionalFormatting sqref="C3:E15">
    <cfRule type="expression" dxfId="604" priority="9">
      <formula>OR(IF($E3="Hela hallen",1))</formula>
    </cfRule>
  </conditionalFormatting>
  <conditionalFormatting sqref="L1:T1048576">
    <cfRule type="cellIs" dxfId="603" priority="5" operator="equal">
      <formula>"-"</formula>
    </cfRule>
  </conditionalFormatting>
  <conditionalFormatting sqref="A7">
    <cfRule type="cellIs" dxfId="602" priority="13" operator="equal">
      <formula>"Datum"</formula>
    </cfRule>
    <cfRule type="cellIs" dxfId="601" priority="14" operator="equal">
      <formula>"Dag"</formula>
    </cfRule>
    <cfRule type="expression" dxfId="600" priority="15">
      <formula>OR(IF(#REF!="Dag",1))</formula>
    </cfRule>
  </conditionalFormatting>
  <conditionalFormatting sqref="B7">
    <cfRule type="expression" dxfId="599" priority="16">
      <formula>OR(IF(#REF!="Datum",1))</formula>
    </cfRule>
  </conditionalFormatting>
  <conditionalFormatting sqref="C3:F15">
    <cfRule type="expression" dxfId="595" priority="3063">
      <formula>OR(IF(#REF!=TRUE,1))</formula>
    </cfRule>
  </conditionalFormatting>
  <conditionalFormatting sqref="A4 A6 A10 A12 A14">
    <cfRule type="expression" dxfId="594" priority="3064">
      <formula>OR(IF(#REF!="Dag",1))</formula>
    </cfRule>
  </conditionalFormatting>
  <conditionalFormatting sqref="B4 B6 B10 B12 B14">
    <cfRule type="expression" dxfId="593" priority="3065">
      <formula>OR(IF(#REF!="Datum",1))</formula>
    </cfRule>
  </conditionalFormatting>
  <printOptions horizontalCentered="1" verticalCentered="1"/>
  <pageMargins left="0.25" right="0.25" top="0.75" bottom="0.75" header="0.3" footer="0.3"/>
  <pageSetup paperSize="8" scale="26" orientation="portrait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4EF6152-1F19-437E-819C-C2C5BBE2B7C4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A5:B5 A9:B9 A11:B11 A13:B13 A15:B15</xm:sqref>
        </x14:conditionalFormatting>
        <x14:conditionalFormatting xmlns:xm="http://schemas.microsoft.com/office/excel/2006/main">
          <x14:cfRule type="expression" priority="8" id="{1824930D-EA47-4882-B93C-6782A749C5D3}">
            <xm:f>AND(IF(ISERROR(MATCH($B8,Kalenderår!$A$3:$A$17,0)),FALSE,TRUE), IF($B7="Datum",TRUE,FALSE), IF($A7="Dag",TRUE,FALSE))</xm:f>
            <x14:dxf>
              <font>
                <color rgb="FFC00000"/>
              </font>
            </x14:dxf>
          </x14:cfRule>
          <xm:sqref>A8:B8</xm:sqref>
        </x14:conditionalFormatting>
        <x14:conditionalFormatting xmlns:xm="http://schemas.microsoft.com/office/excel/2006/main">
          <x14:cfRule type="expression" priority="17" id="{3D532990-E5D1-4EB3-AC4E-79EB260AC966}">
            <xm:f>AND(IF(ISERROR(MATCH($B7,Kalenderår!$A$3:$A$17,0)),FALSE,TRUE), IF(#REF!="Datum",TRUE,FALSE), IF(#REF!="Dag",TRUE,FALSE))</xm:f>
            <x14:dxf>
              <font>
                <color rgb="FFC00000"/>
              </font>
            </x14:dxf>
          </x14:cfRule>
          <xm:sqref>A7:B7</xm:sqref>
        </x14:conditionalFormatting>
        <x14:conditionalFormatting xmlns:xm="http://schemas.microsoft.com/office/excel/2006/main">
          <x14:cfRule type="expression" priority="3072" id="{1824930D-EA47-4882-B93C-6782A749C5D3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A6:B6 A10:B10 A12:B12 A14:B14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9D75A5F-F8F4-4D60-823D-EB6ADE3E9C0D}">
          <x14:formula1>
            <xm:f>Kontaktuppgifter!$A$2:$A$300</xm:f>
          </x14:formula1>
          <xm:sqref>F3 F5 F9 F11 F13 F15 F7</xm:sqref>
        </x14:dataValidation>
        <x14:dataValidation type="list" allowBlank="1" showInputMessage="1" showErrorMessage="1" xr:uid="{80300972-F8E0-4A95-A2D2-C474F2CCF8F5}">
          <x14:formula1>
            <xm:f>Listor!$A$2:$A$150</xm:f>
          </x14:formula1>
          <xm:sqref>E3 E5 E9 E11 E13 E15 E7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0BC35-FA50-49EB-8E56-C2FE39FD51D6}">
  <sheetPr codeName="Blad28">
    <pageSetUpPr fitToPage="1"/>
  </sheetPr>
  <dimension ref="A1:Y19"/>
  <sheetViews>
    <sheetView showGridLines="0" zoomScaleNormal="100" workbookViewId="0">
      <pane ySplit="2" topLeftCell="A3" activePane="bottomLeft" state="frozen"/>
      <selection activeCell="C19" sqref="C19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Måndag27</f>
        <v>45838</v>
      </c>
      <c r="W1" s="33">
        <f>Söndag27</f>
        <v>45844</v>
      </c>
      <c r="X1" s="34">
        <f>WEEKNUM(Söndag27, 2)</f>
        <v>27</v>
      </c>
      <c r="Y1" s="35" t="str">
        <f>"V. "&amp;X1&amp;", "&amp;TEXT(V1,"D MMM")&amp;"-"&amp;TEXT(W1,"D MMM")</f>
        <v>V. 27, 30 jun-6 jul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>PROPER(TEXT(B3, "dddd"))</f>
        <v>Måndag</v>
      </c>
      <c r="B3" s="194">
        <f t="shared" ref="B3" si="0">Måndag27</f>
        <v>45838</v>
      </c>
      <c r="C3" s="40"/>
      <c r="D3" s="41"/>
      <c r="E3" s="42"/>
      <c r="F3" s="43"/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>PROPER(TEXT(B5, "dddd"))</f>
        <v>Tisdag</v>
      </c>
      <c r="B5" s="195">
        <f t="shared" ref="B5" si="1">Tisdag27</f>
        <v>45839</v>
      </c>
      <c r="C5" s="40"/>
      <c r="D5" s="48"/>
      <c r="E5" s="49"/>
      <c r="F5" s="50"/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193" t="s">
        <v>0</v>
      </c>
      <c r="B6" s="195" t="s">
        <v>1</v>
      </c>
      <c r="C6" s="44" t="s">
        <v>824</v>
      </c>
      <c r="D6" s="45" t="s">
        <v>2</v>
      </c>
      <c r="E6" s="46" t="s">
        <v>3</v>
      </c>
      <c r="F6" s="47" t="s">
        <v>4</v>
      </c>
    </row>
    <row r="7" spans="1:25" ht="15" customHeight="1" x14ac:dyDescent="0.3">
      <c r="A7" s="193" t="str">
        <f>PROPER(TEXT(B7, "dddd"))</f>
        <v>Onsdag</v>
      </c>
      <c r="B7" s="195">
        <f t="shared" ref="B7" si="2">Onsdag27</f>
        <v>45840</v>
      </c>
      <c r="C7" s="40"/>
      <c r="D7" s="48"/>
      <c r="E7" s="49"/>
      <c r="F7" s="50"/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193" t="s">
        <v>0</v>
      </c>
      <c r="B8" s="195" t="s">
        <v>1</v>
      </c>
      <c r="C8" s="44" t="s">
        <v>824</v>
      </c>
      <c r="D8" s="45" t="s">
        <v>2</v>
      </c>
      <c r="E8" s="46" t="s">
        <v>3</v>
      </c>
      <c r="F8" s="47" t="s">
        <v>4</v>
      </c>
    </row>
    <row r="9" spans="1:25" ht="15" customHeight="1" x14ac:dyDescent="0.3">
      <c r="A9" s="193" t="str">
        <f>PROPER(TEXT(B9, "dddd"))</f>
        <v>Torsdag</v>
      </c>
      <c r="B9" s="195">
        <f t="shared" ref="B9" si="3">Torsdag27</f>
        <v>45841</v>
      </c>
      <c r="C9" s="40"/>
      <c r="D9" s="48"/>
      <c r="E9" s="49"/>
      <c r="F9" s="50"/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s="10" customFormat="1" ht="20.100000000000001" hidden="1" customHeight="1" x14ac:dyDescent="0.3">
      <c r="A10" s="193" t="s">
        <v>0</v>
      </c>
      <c r="B10" s="195" t="s">
        <v>1</v>
      </c>
      <c r="C10" s="44" t="s">
        <v>824</v>
      </c>
      <c r="D10" s="45" t="s">
        <v>2</v>
      </c>
      <c r="E10" s="46" t="s">
        <v>3</v>
      </c>
      <c r="F10" s="47" t="s">
        <v>4</v>
      </c>
    </row>
    <row r="11" spans="1:25" ht="15" customHeight="1" x14ac:dyDescent="0.3">
      <c r="A11" s="193" t="str">
        <f>PROPER(TEXT(B11, "dddd"))</f>
        <v>Fredag</v>
      </c>
      <c r="B11" s="195">
        <f t="shared" ref="B11" si="4">Fredag27</f>
        <v>45842</v>
      </c>
      <c r="C11" s="40"/>
      <c r="D11" s="48"/>
      <c r="E11" s="49"/>
      <c r="F11" s="50"/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193" t="s">
        <v>0</v>
      </c>
      <c r="B12" s="195" t="s">
        <v>1</v>
      </c>
      <c r="C12" s="44" t="s">
        <v>824</v>
      </c>
      <c r="D12" s="45" t="s">
        <v>2</v>
      </c>
      <c r="E12" s="46" t="s">
        <v>3</v>
      </c>
      <c r="F12" s="47" t="s">
        <v>4</v>
      </c>
    </row>
    <row r="13" spans="1:25" ht="15" customHeight="1" x14ac:dyDescent="0.3">
      <c r="A13" s="193" t="str">
        <f>PROPER(TEXT(B13, "dddd"))</f>
        <v>Lördag</v>
      </c>
      <c r="B13" s="195">
        <f t="shared" ref="B13" si="5">Lördag27</f>
        <v>45843</v>
      </c>
      <c r="C13" s="40"/>
      <c r="D13" s="48"/>
      <c r="E13" s="49"/>
      <c r="F13" s="50"/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193" t="s">
        <v>0</v>
      </c>
      <c r="B14" s="195" t="s">
        <v>1</v>
      </c>
      <c r="C14" s="44" t="s">
        <v>824</v>
      </c>
      <c r="D14" s="45" t="s">
        <v>2</v>
      </c>
      <c r="E14" s="46" t="s">
        <v>3</v>
      </c>
      <c r="F14" s="47" t="s">
        <v>4</v>
      </c>
    </row>
    <row r="15" spans="1:25" ht="15" customHeight="1" x14ac:dyDescent="0.3">
      <c r="A15" s="193" t="str">
        <f>PROPER(TEXT(B15, "dddd"))</f>
        <v>Söndag</v>
      </c>
      <c r="B15" s="195">
        <f t="shared" ref="B15" si="6">Söndag27</f>
        <v>45844</v>
      </c>
      <c r="C15" s="40"/>
      <c r="D15" s="48"/>
      <c r="E15" s="49"/>
      <c r="F15" s="50"/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7" spans="3:4" ht="15" customHeight="1" x14ac:dyDescent="0.3">
      <c r="C17" s="40"/>
      <c r="D17" s="41"/>
    </row>
    <row r="18" spans="3:4" ht="15" customHeight="1" x14ac:dyDescent="0.3">
      <c r="C18" s="40"/>
      <c r="D18" s="8"/>
    </row>
    <row r="19" spans="3:4" ht="15" customHeight="1" x14ac:dyDescent="0.3">
      <c r="C19" s="40"/>
      <c r="D19" s="8"/>
    </row>
  </sheetData>
  <sheetProtection algorithmName="SHA-512" hashValue="RvqHkUNjbxqBx5vFdVbcXq4GANceYvbBQ9x6uvVwE9zLlicnJMO32b3fNy/5eZoQykLhMKcS4xSgQn24uhTBjg==" saltValue="yH9aLGpUl+b/828QSEZ/9g==" spinCount="100000" sheet="1" objects="1" scenarios="1" autoFilter="0" pivotTables="0"/>
  <conditionalFormatting sqref="A3 A5 A7 A9 A11 A13 A15">
    <cfRule type="cellIs" dxfId="591" priority="1" operator="equal">
      <formula>"Datum"</formula>
    </cfRule>
    <cfRule type="cellIs" dxfId="590" priority="2" operator="equal">
      <formula>"Dag"</formula>
    </cfRule>
    <cfRule type="expression" dxfId="589" priority="4">
      <formula>OR(IF($A2="Dag",1))</formula>
    </cfRule>
  </conditionalFormatting>
  <conditionalFormatting sqref="A14">
    <cfRule type="expression" dxfId="588" priority="22">
      <formula>OR(IF(#REF!="Dag",1))</formula>
    </cfRule>
  </conditionalFormatting>
  <conditionalFormatting sqref="A1:B2 A4:B4 A6:B6 A8:B8 A10:B10 A12:B12 A14:B14 A16:B1048576 B3 B5 B7 B9 B11 B13 B15">
    <cfRule type="cellIs" dxfId="587" priority="14" operator="equal">
      <formula>"Datum"</formula>
    </cfRule>
    <cfRule type="cellIs" dxfId="586" priority="15" operator="equal">
      <formula>"Dag"</formula>
    </cfRule>
  </conditionalFormatting>
  <conditionalFormatting sqref="B3 B5 B7 B9 B11 B13 B15">
    <cfRule type="expression" dxfId="585" priority="21">
      <formula>OR(IF($B2="Datum",1))</formula>
    </cfRule>
  </conditionalFormatting>
  <conditionalFormatting sqref="C3:E15">
    <cfRule type="expression" dxfId="584" priority="18">
      <formula>OR(IF($E3="Hela hallen",1))</formula>
    </cfRule>
  </conditionalFormatting>
  <conditionalFormatting sqref="L1:T1048576">
    <cfRule type="cellIs" dxfId="583" priority="13" operator="equal">
      <formula>"-"</formula>
    </cfRule>
  </conditionalFormatting>
  <conditionalFormatting sqref="C3:F15">
    <cfRule type="expression" dxfId="581" priority="3074">
      <formula>OR(IF(#REF!=TRUE,1))</formula>
    </cfRule>
  </conditionalFormatting>
  <conditionalFormatting sqref="A4 A6 A8 A10 A12">
    <cfRule type="expression" dxfId="580" priority="3075">
      <formula>OR(IF(#REF!="Dag",1))</formula>
    </cfRule>
  </conditionalFormatting>
  <conditionalFormatting sqref="B4 B6 B8 B10 B12 B14">
    <cfRule type="expression" dxfId="579" priority="3076">
      <formula>OR(IF(#REF!="Datum",1))</formula>
    </cfRule>
  </conditionalFormatting>
  <printOptions horizontalCentered="1" verticalCentered="1"/>
  <pageMargins left="0.25" right="0.25" top="0.75" bottom="0.75" header="0.3" footer="0.3"/>
  <pageSetup paperSize="8" scale="26" orientation="portrait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F8C7AB1-2840-4417-B6D8-1B086949F529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A5:B5 A7:B7 A9:B9 A11:B11 A13:B13 A15:B15</xm:sqref>
        </x14:conditionalFormatting>
        <x14:conditionalFormatting xmlns:xm="http://schemas.microsoft.com/office/excel/2006/main">
          <x14:cfRule type="expression" priority="3083" id="{446785F6-7CFE-440B-96A2-300FB4A15A49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A6:B6 A8:B8 A10:B10 A12:B12 A14:B14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A8DBD46-3CBB-42B3-9A53-DF5DD9B830E1}">
          <x14:formula1>
            <xm:f>Listor!$A$2:$A$150</xm:f>
          </x14:formula1>
          <xm:sqref>E3 E5 E7 E9 E11 E13 E15</xm:sqref>
        </x14:dataValidation>
        <x14:dataValidation type="list" allowBlank="1" showInputMessage="1" showErrorMessage="1" xr:uid="{A4251030-4CFF-4CBD-A53F-001E0934AC82}">
          <x14:formula1>
            <xm:f>Kontaktuppgifter!$A$2:$A$300</xm:f>
          </x14:formula1>
          <xm:sqref>F3 F5 F7 F9 F11 F13 F15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FBA2D-E499-4EB5-9A1C-5355D2BF6DCC}">
  <sheetPr codeName="Blad29"/>
  <dimension ref="A1:Y19"/>
  <sheetViews>
    <sheetView showGridLines="0" zoomScaleNormal="100" workbookViewId="0">
      <pane ySplit="2" topLeftCell="A3" activePane="bottomLeft" state="frozen"/>
      <selection activeCell="C19" sqref="C19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Måndag28</f>
        <v>45845</v>
      </c>
      <c r="W1" s="33">
        <f>Söndag28</f>
        <v>45851</v>
      </c>
      <c r="X1" s="34">
        <f>WEEKNUM(Söndag28, 2)</f>
        <v>28</v>
      </c>
      <c r="Y1" s="35" t="str">
        <f>"V. "&amp;X1&amp;", "&amp;TEXT(V1,"D MMM")&amp;"-"&amp;TEXT(W1,"D MMM")</f>
        <v>V. 28, 7 jul-13 jul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>PROPER(TEXT(B3, "dddd"))</f>
        <v>Måndag</v>
      </c>
      <c r="B3" s="194">
        <f t="shared" ref="B3" si="0">Måndag28</f>
        <v>45845</v>
      </c>
      <c r="C3" s="40"/>
      <c r="D3" s="41"/>
      <c r="E3" s="42"/>
      <c r="F3" s="43"/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>PROPER(TEXT(B5, "dddd"))</f>
        <v>Tisdag</v>
      </c>
      <c r="B5" s="195">
        <f t="shared" ref="B5" si="1">Tisdag28</f>
        <v>45846</v>
      </c>
      <c r="C5" s="40"/>
      <c r="D5" s="48"/>
      <c r="E5" s="49"/>
      <c r="F5" s="50"/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193" t="s">
        <v>0</v>
      </c>
      <c r="B6" s="195" t="s">
        <v>1</v>
      </c>
      <c r="C6" s="44" t="s">
        <v>824</v>
      </c>
      <c r="D6" s="45" t="s">
        <v>2</v>
      </c>
      <c r="E6" s="46" t="s">
        <v>3</v>
      </c>
      <c r="F6" s="47" t="s">
        <v>4</v>
      </c>
    </row>
    <row r="7" spans="1:25" ht="15" customHeight="1" x14ac:dyDescent="0.3">
      <c r="A7" s="193" t="str">
        <f>PROPER(TEXT(B7, "dddd"))</f>
        <v>Onsdag</v>
      </c>
      <c r="B7" s="195">
        <f t="shared" ref="B7" si="2">Onsdag28</f>
        <v>45847</v>
      </c>
      <c r="C7" s="40"/>
      <c r="D7" s="48"/>
      <c r="E7" s="49"/>
      <c r="F7" s="50"/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193" t="s">
        <v>0</v>
      </c>
      <c r="B8" s="195" t="s">
        <v>1</v>
      </c>
      <c r="C8" s="44" t="s">
        <v>824</v>
      </c>
      <c r="D8" s="45" t="s">
        <v>2</v>
      </c>
      <c r="E8" s="46" t="s">
        <v>3</v>
      </c>
      <c r="F8" s="47" t="s">
        <v>4</v>
      </c>
    </row>
    <row r="9" spans="1:25" ht="15" customHeight="1" x14ac:dyDescent="0.3">
      <c r="A9" s="193" t="str">
        <f>PROPER(TEXT(B9, "dddd"))</f>
        <v>Torsdag</v>
      </c>
      <c r="B9" s="195">
        <f t="shared" ref="B9" si="3">Torsdag28</f>
        <v>45848</v>
      </c>
      <c r="C9" s="40"/>
      <c r="D9" s="48"/>
      <c r="E9" s="49"/>
      <c r="F9" s="50"/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s="10" customFormat="1" ht="20.100000000000001" hidden="1" customHeight="1" x14ac:dyDescent="0.3">
      <c r="A10" s="193" t="s">
        <v>0</v>
      </c>
      <c r="B10" s="195" t="s">
        <v>1</v>
      </c>
      <c r="C10" s="44" t="s">
        <v>824</v>
      </c>
      <c r="D10" s="45" t="s">
        <v>2</v>
      </c>
      <c r="E10" s="46" t="s">
        <v>3</v>
      </c>
      <c r="F10" s="47" t="s">
        <v>4</v>
      </c>
    </row>
    <row r="11" spans="1:25" ht="15" customHeight="1" x14ac:dyDescent="0.3">
      <c r="A11" s="193" t="str">
        <f>PROPER(TEXT(B11, "dddd"))</f>
        <v>Fredag</v>
      </c>
      <c r="B11" s="195">
        <f t="shared" ref="B11" si="4">Fredag28</f>
        <v>45849</v>
      </c>
      <c r="C11" s="40"/>
      <c r="D11" s="48"/>
      <c r="E11" s="49"/>
      <c r="F11" s="50"/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193" t="s">
        <v>0</v>
      </c>
      <c r="B12" s="195" t="s">
        <v>1</v>
      </c>
      <c r="C12" s="44" t="s">
        <v>824</v>
      </c>
      <c r="D12" s="45" t="s">
        <v>2</v>
      </c>
      <c r="E12" s="46" t="s">
        <v>3</v>
      </c>
      <c r="F12" s="47" t="s">
        <v>4</v>
      </c>
    </row>
    <row r="13" spans="1:25" ht="15" customHeight="1" x14ac:dyDescent="0.3">
      <c r="A13" s="193" t="str">
        <f>PROPER(TEXT(B13, "dddd"))</f>
        <v>Lördag</v>
      </c>
      <c r="B13" s="195">
        <f t="shared" ref="B13" si="5">Lördag28</f>
        <v>45850</v>
      </c>
      <c r="C13" s="40"/>
      <c r="D13" s="48"/>
      <c r="E13" s="49"/>
      <c r="F13" s="50"/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193" t="s">
        <v>0</v>
      </c>
      <c r="B14" s="195" t="s">
        <v>1</v>
      </c>
      <c r="C14" s="44" t="s">
        <v>824</v>
      </c>
      <c r="D14" s="45" t="s">
        <v>2</v>
      </c>
      <c r="E14" s="46" t="s">
        <v>3</v>
      </c>
      <c r="F14" s="47" t="s">
        <v>4</v>
      </c>
    </row>
    <row r="15" spans="1:25" ht="15" customHeight="1" x14ac:dyDescent="0.3">
      <c r="A15" s="193" t="str">
        <f>PROPER(TEXT(B15, "dddd"))</f>
        <v>Söndag</v>
      </c>
      <c r="B15" s="195">
        <f t="shared" ref="B15" si="6">Söndag28</f>
        <v>45851</v>
      </c>
      <c r="C15" s="40"/>
      <c r="D15" s="48"/>
      <c r="E15" s="49"/>
      <c r="F15" s="50"/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7" spans="3:4" ht="15" customHeight="1" x14ac:dyDescent="0.3">
      <c r="C17" s="40"/>
      <c r="D17" s="41"/>
    </row>
    <row r="18" spans="3:4" ht="15" customHeight="1" x14ac:dyDescent="0.3">
      <c r="C18" s="40"/>
      <c r="D18" s="8"/>
    </row>
    <row r="19" spans="3:4" ht="15" customHeight="1" x14ac:dyDescent="0.3">
      <c r="C19" s="40"/>
      <c r="D19" s="8"/>
    </row>
  </sheetData>
  <sheetProtection algorithmName="SHA-512" hashValue="wB4gNLxh6aHyYQ1aZaCXUmXATsnEtQxyREOJ5G5jQc2/NsHexSH9i+kgI1G5+oPTzoUop8N3a9fmuprwBhxMnw==" saltValue="lwLWw4ImTY5k/BFlSWhgQw==" spinCount="100000" sheet="1" objects="1" scenarios="1" autoFilter="0" pivotTables="0"/>
  <conditionalFormatting sqref="A3 A5 A7 A9 A11 A13 A15">
    <cfRule type="cellIs" dxfId="577" priority="1" operator="equal">
      <formula>"Datum"</formula>
    </cfRule>
    <cfRule type="cellIs" dxfId="576" priority="2" operator="equal">
      <formula>"Dag"</formula>
    </cfRule>
    <cfRule type="expression" dxfId="575" priority="4">
      <formula>OR(IF($A2="Dag",1))</formula>
    </cfRule>
  </conditionalFormatting>
  <conditionalFormatting sqref="A14">
    <cfRule type="expression" dxfId="574" priority="22">
      <formula>OR(IF(#REF!="Dag",1))</formula>
    </cfRule>
  </conditionalFormatting>
  <conditionalFormatting sqref="A1:B2 B3 A4:B4 A6:B6 A8:B8 A10:B10 A12:B12 A14:B14 A16:B1048576 B5 B7 B9 B11 B13 B15">
    <cfRule type="cellIs" dxfId="573" priority="14" operator="equal">
      <formula>"Datum"</formula>
    </cfRule>
    <cfRule type="cellIs" dxfId="572" priority="15" operator="equal">
      <formula>"Dag"</formula>
    </cfRule>
  </conditionalFormatting>
  <conditionalFormatting sqref="B3 B5 B7 B9 B11 B13 B15">
    <cfRule type="expression" dxfId="571" priority="21">
      <formula>OR(IF($B2="Datum",1))</formula>
    </cfRule>
  </conditionalFormatting>
  <conditionalFormatting sqref="C3:E15">
    <cfRule type="expression" dxfId="570" priority="18">
      <formula>OR(IF($E3="Hela hallen",1))</formula>
    </cfRule>
  </conditionalFormatting>
  <conditionalFormatting sqref="L1:T1048576">
    <cfRule type="cellIs" dxfId="569" priority="13" operator="equal">
      <formula>"-"</formula>
    </cfRule>
  </conditionalFormatting>
  <conditionalFormatting sqref="C3:F15">
    <cfRule type="expression" dxfId="567" priority="3085">
      <formula>OR(IF(#REF!=TRUE,1))</formula>
    </cfRule>
  </conditionalFormatting>
  <conditionalFormatting sqref="A4 A6 A8 A10 A12">
    <cfRule type="expression" dxfId="566" priority="3086">
      <formula>OR(IF(#REF!="Dag",1))</formula>
    </cfRule>
  </conditionalFormatting>
  <conditionalFormatting sqref="B4 B6 B8 B10 B12 B14">
    <cfRule type="expression" dxfId="565" priority="3088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BBFD090-C30B-4EA2-9951-2781325A61CE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A5:B5 A7:B7 A9:B9 A11:B11 A13:B13 A15:B15 A3:B3</xm:sqref>
        </x14:conditionalFormatting>
        <x14:conditionalFormatting xmlns:xm="http://schemas.microsoft.com/office/excel/2006/main">
          <x14:cfRule type="expression" priority="3097" id="{D3B570F7-AA3B-4ECF-9C85-DBA389643A10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A6:B6 A8:B8 A10:B10 A12:B12 A14:B14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27F26F0-73B7-45DD-B3E4-09ACF3B107B2}">
          <x14:formula1>
            <xm:f>Kontaktuppgifter!$A$2:$A$300</xm:f>
          </x14:formula1>
          <xm:sqref>F3 F5 F7 F9 F11 F13 F15</xm:sqref>
        </x14:dataValidation>
        <x14:dataValidation type="list" allowBlank="1" showInputMessage="1" showErrorMessage="1" xr:uid="{22F64229-468F-4FAB-A943-419709B7B6C9}">
          <x14:formula1>
            <xm:f>Listor!$A$2:$A$150</xm:f>
          </x14:formula1>
          <xm:sqref>E3 E5 E7 E9 E11 E13 E15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3419C-30E6-4792-B1CE-40AAA65FC551}">
  <sheetPr codeName="Blad30"/>
  <dimension ref="A1:Y19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Måndag29</f>
        <v>45852</v>
      </c>
      <c r="W1" s="33">
        <f>Söndag29</f>
        <v>45858</v>
      </c>
      <c r="X1" s="34">
        <f>WEEKNUM(Söndag29, 2)</f>
        <v>29</v>
      </c>
      <c r="Y1" s="35" t="str">
        <f>"V. "&amp;X1&amp;", "&amp;TEXT(V1,"D MMM")&amp;"-"&amp;TEXT(W1,"D MMM")</f>
        <v>V. 29, 14 jul-20 jul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>PROPER(TEXT(B3, "dddd"))</f>
        <v>Måndag</v>
      </c>
      <c r="B3" s="194">
        <f t="shared" ref="B3" si="0">Måndag29</f>
        <v>45852</v>
      </c>
      <c r="C3" s="40"/>
      <c r="D3" s="41"/>
      <c r="E3" s="42"/>
      <c r="F3" s="43"/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>PROPER(TEXT(B5, "dddd"))</f>
        <v>Tisdag</v>
      </c>
      <c r="B5" s="195">
        <f t="shared" ref="B5" si="1">Tisdag29</f>
        <v>45853</v>
      </c>
      <c r="C5" s="40"/>
      <c r="D5" s="48"/>
      <c r="E5" s="49"/>
      <c r="F5" s="50"/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193" t="s">
        <v>0</v>
      </c>
      <c r="B6" s="195" t="s">
        <v>1</v>
      </c>
      <c r="C6" s="44" t="s">
        <v>824</v>
      </c>
      <c r="D6" s="45" t="s">
        <v>2</v>
      </c>
      <c r="E6" s="46" t="s">
        <v>3</v>
      </c>
      <c r="F6" s="47" t="s">
        <v>4</v>
      </c>
    </row>
    <row r="7" spans="1:25" ht="15" customHeight="1" x14ac:dyDescent="0.3">
      <c r="A7" s="193" t="str">
        <f>PROPER(TEXT(B7, "dddd"))</f>
        <v>Onsdag</v>
      </c>
      <c r="B7" s="195">
        <f t="shared" ref="B7" si="2">Onsdag29</f>
        <v>45854</v>
      </c>
      <c r="C7" s="40"/>
      <c r="D7" s="48"/>
      <c r="E7" s="49"/>
      <c r="F7" s="50"/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193" t="s">
        <v>0</v>
      </c>
      <c r="B8" s="195" t="s">
        <v>1</v>
      </c>
      <c r="C8" s="44" t="s">
        <v>824</v>
      </c>
      <c r="D8" s="45" t="s">
        <v>2</v>
      </c>
      <c r="E8" s="46" t="s">
        <v>3</v>
      </c>
      <c r="F8" s="47" t="s">
        <v>4</v>
      </c>
    </row>
    <row r="9" spans="1:25" ht="15" customHeight="1" x14ac:dyDescent="0.3">
      <c r="A9" s="193" t="str">
        <f>PROPER(TEXT(B9, "dddd"))</f>
        <v>Torsdag</v>
      </c>
      <c r="B9" s="195">
        <f t="shared" ref="B9" si="3">Torsdag29</f>
        <v>45855</v>
      </c>
      <c r="C9" s="40"/>
      <c r="D9" s="48"/>
      <c r="E9" s="49"/>
      <c r="F9" s="50"/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s="10" customFormat="1" ht="20.100000000000001" hidden="1" customHeight="1" x14ac:dyDescent="0.3">
      <c r="A10" s="193" t="s">
        <v>0</v>
      </c>
      <c r="B10" s="195" t="s">
        <v>1</v>
      </c>
      <c r="C10" s="44" t="s">
        <v>824</v>
      </c>
      <c r="D10" s="45" t="s">
        <v>2</v>
      </c>
      <c r="E10" s="46" t="s">
        <v>3</v>
      </c>
      <c r="F10" s="47" t="s">
        <v>4</v>
      </c>
    </row>
    <row r="11" spans="1:25" ht="15" customHeight="1" x14ac:dyDescent="0.3">
      <c r="A11" s="193" t="str">
        <f>PROPER(TEXT(B11, "dddd"))</f>
        <v>Fredag</v>
      </c>
      <c r="B11" s="195">
        <f t="shared" ref="B11" si="4">Fredag29</f>
        <v>45856</v>
      </c>
      <c r="C11" s="40"/>
      <c r="D11" s="48"/>
      <c r="E11" s="49"/>
      <c r="F11" s="50"/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193" t="s">
        <v>0</v>
      </c>
      <c r="B12" s="195" t="s">
        <v>1</v>
      </c>
      <c r="C12" s="44" t="s">
        <v>824</v>
      </c>
      <c r="D12" s="45" t="s">
        <v>2</v>
      </c>
      <c r="E12" s="46" t="s">
        <v>3</v>
      </c>
      <c r="F12" s="47" t="s">
        <v>4</v>
      </c>
    </row>
    <row r="13" spans="1:25" ht="15" customHeight="1" x14ac:dyDescent="0.3">
      <c r="A13" s="193" t="str">
        <f>PROPER(TEXT(B13, "dddd"))</f>
        <v>Lördag</v>
      </c>
      <c r="B13" s="195">
        <f t="shared" ref="B13" si="5">Lördag29</f>
        <v>45857</v>
      </c>
      <c r="C13" s="40"/>
      <c r="D13" s="48"/>
      <c r="E13" s="49"/>
      <c r="F13" s="50"/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193" t="s">
        <v>0</v>
      </c>
      <c r="B14" s="195" t="s">
        <v>1</v>
      </c>
      <c r="C14" s="44" t="s">
        <v>824</v>
      </c>
      <c r="D14" s="45" t="s">
        <v>2</v>
      </c>
      <c r="E14" s="46" t="s">
        <v>3</v>
      </c>
      <c r="F14" s="47" t="s">
        <v>4</v>
      </c>
    </row>
    <row r="15" spans="1:25" ht="15" customHeight="1" x14ac:dyDescent="0.3">
      <c r="A15" s="193" t="str">
        <f>PROPER(TEXT(B15, "dddd"))</f>
        <v>Söndag</v>
      </c>
      <c r="B15" s="195">
        <f t="shared" ref="B15" si="6">Söndag29</f>
        <v>45858</v>
      </c>
      <c r="C15" s="40"/>
      <c r="D15" s="48"/>
      <c r="E15" s="49"/>
      <c r="F15" s="50"/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7" spans="3:4" ht="15" customHeight="1" x14ac:dyDescent="0.3">
      <c r="C17" s="40"/>
      <c r="D17" s="41"/>
    </row>
    <row r="18" spans="3:4" ht="15" customHeight="1" x14ac:dyDescent="0.3">
      <c r="C18" s="40"/>
      <c r="D18" s="8"/>
    </row>
    <row r="19" spans="3:4" ht="15" customHeight="1" x14ac:dyDescent="0.3">
      <c r="C19" s="40"/>
      <c r="D19" s="8"/>
    </row>
  </sheetData>
  <sheetProtection algorithmName="SHA-512" hashValue="K8XrL9tfOOnmDTg8sMTrhDdE3nouKyp3Q0sNEoM6CTj1swuFBF6zPcV39VilTdlPqYH4NK8iPhoNtlbNyCD5Ow==" saltValue="OjbDI7MQ2zcVAvwzIHtXpQ==" spinCount="100000" sheet="1" objects="1" scenarios="1" autoFilter="0" pivotTables="0"/>
  <conditionalFormatting sqref="A3 A5 A7 A9 A11 A13 A15">
    <cfRule type="cellIs" dxfId="563" priority="1" operator="equal">
      <formula>"Datum"</formula>
    </cfRule>
    <cfRule type="cellIs" dxfId="562" priority="2" operator="equal">
      <formula>"Dag"</formula>
    </cfRule>
    <cfRule type="expression" dxfId="561" priority="4">
      <formula>OR(IF($A2="Dag",1))</formula>
    </cfRule>
  </conditionalFormatting>
  <conditionalFormatting sqref="A14">
    <cfRule type="expression" dxfId="560" priority="22">
      <formula>OR(IF(#REF!="Dag",1))</formula>
    </cfRule>
  </conditionalFormatting>
  <conditionalFormatting sqref="A1:B2 B3 A4:B4 B5 A6:B6 B7 A8:B8 B9 A10:B10 B11 A12:B12 B13 A14:B14 B15 A16:B1048576">
    <cfRule type="cellIs" dxfId="559" priority="14" operator="equal">
      <formula>"Datum"</formula>
    </cfRule>
    <cfRule type="cellIs" dxfId="558" priority="15" operator="equal">
      <formula>"Dag"</formula>
    </cfRule>
  </conditionalFormatting>
  <conditionalFormatting sqref="B3 B5 B7 B9 B11 B13 B15">
    <cfRule type="expression" dxfId="557" priority="21">
      <formula>OR(IF($B2="Datum",1))</formula>
    </cfRule>
  </conditionalFormatting>
  <conditionalFormatting sqref="C3:E15">
    <cfRule type="expression" dxfId="556" priority="18">
      <formula>OR(IF($E3="Hela hallen",1))</formula>
    </cfRule>
  </conditionalFormatting>
  <conditionalFormatting sqref="L1:T1048576">
    <cfRule type="cellIs" dxfId="555" priority="13" operator="equal">
      <formula>"-"</formula>
    </cfRule>
  </conditionalFormatting>
  <conditionalFormatting sqref="C3:F15">
    <cfRule type="expression" dxfId="553" priority="3099">
      <formula>OR(IF(#REF!=TRUE,1))</formula>
    </cfRule>
  </conditionalFormatting>
  <conditionalFormatting sqref="A4 A6 A8 A10 A12">
    <cfRule type="expression" dxfId="552" priority="3100">
      <formula>OR(IF(#REF!="Dag",1))</formula>
    </cfRule>
  </conditionalFormatting>
  <conditionalFormatting sqref="B4 B6 B8 B10 B12 B14">
    <cfRule type="expression" dxfId="551" priority="3102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D866467-ABAA-4925-A3F1-F2BE651D414D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A5:B5 A7:B7 A9:B9 A11:B11 A13:B13 A15:B15</xm:sqref>
        </x14:conditionalFormatting>
        <x14:conditionalFormatting xmlns:xm="http://schemas.microsoft.com/office/excel/2006/main">
          <x14:cfRule type="expression" priority="3111" id="{4D50E2DD-14B1-4E95-A97C-68CF3DEC1EB3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A6:B6 A8:B8 A10:B10 A12:B12 A14:B14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655C77-95C5-4637-B323-8C1DB84C1E21}">
          <x14:formula1>
            <xm:f>Listor!$A$2:$A$150</xm:f>
          </x14:formula1>
          <xm:sqref>E3 E5 E7 E9 E11 E13 E15</xm:sqref>
        </x14:dataValidation>
        <x14:dataValidation type="list" allowBlank="1" showInputMessage="1" showErrorMessage="1" xr:uid="{57B67AFB-9D21-43E2-B3F8-872956E194F1}">
          <x14:formula1>
            <xm:f>Kontaktuppgifter!$A$2:$A$300</xm:f>
          </x14:formula1>
          <xm:sqref>F3 F5 F7 F9 F11 F13 F15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A00C4-0EDB-4206-B34D-7595500AB127}">
  <sheetPr codeName="Blad31"/>
  <dimension ref="A1:Y19"/>
  <sheetViews>
    <sheetView showGridLines="0" zoomScaleNormal="100" workbookViewId="0">
      <pane ySplit="2" topLeftCell="A6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Måndag30</f>
        <v>45859</v>
      </c>
      <c r="W1" s="33">
        <f>Söndag30</f>
        <v>45865</v>
      </c>
      <c r="X1" s="34">
        <f>WEEKNUM(Söndag30, 2)</f>
        <v>30</v>
      </c>
      <c r="Y1" s="35" t="str">
        <f>"V. "&amp;X1&amp;", "&amp;TEXT(V1,"D MMM")&amp;"-"&amp;TEXT(W1,"D MMM")</f>
        <v>V. 30, 21 jul-27 jul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>PROPER(TEXT(B3, "dddd"))</f>
        <v>Måndag</v>
      </c>
      <c r="B3" s="194">
        <f t="shared" ref="B3" si="0">Måndag30</f>
        <v>45859</v>
      </c>
      <c r="C3" s="40"/>
      <c r="D3" s="41"/>
      <c r="E3" s="42"/>
      <c r="F3" s="43"/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>PROPER(TEXT(B5, "dddd"))</f>
        <v>Tisdag</v>
      </c>
      <c r="B5" s="195">
        <f t="shared" ref="B5" si="1">Tisdag30</f>
        <v>45860</v>
      </c>
      <c r="C5" s="40"/>
      <c r="D5" s="48"/>
      <c r="E5" s="49"/>
      <c r="F5" s="50"/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193" t="s">
        <v>0</v>
      </c>
      <c r="B6" s="195" t="s">
        <v>1</v>
      </c>
      <c r="C6" s="44" t="s">
        <v>824</v>
      </c>
      <c r="D6" s="45" t="s">
        <v>2</v>
      </c>
      <c r="E6" s="46" t="s">
        <v>3</v>
      </c>
      <c r="F6" s="47" t="s">
        <v>4</v>
      </c>
    </row>
    <row r="7" spans="1:25" ht="15" customHeight="1" x14ac:dyDescent="0.3">
      <c r="A7" s="193" t="str">
        <f t="shared" ref="A7" si="2">PROPER(TEXT(B7, "dddd"))</f>
        <v>Onsdag</v>
      </c>
      <c r="B7" s="195">
        <f t="shared" ref="B7" si="3">Onsdag30</f>
        <v>45861</v>
      </c>
      <c r="C7" s="40"/>
      <c r="D7" s="48"/>
      <c r="E7" s="49"/>
      <c r="F7" s="50"/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193" t="s">
        <v>0</v>
      </c>
      <c r="B8" s="195" t="s">
        <v>1</v>
      </c>
      <c r="C8" s="44" t="s">
        <v>824</v>
      </c>
      <c r="D8" s="45" t="s">
        <v>2</v>
      </c>
      <c r="E8" s="46" t="s">
        <v>3</v>
      </c>
      <c r="F8" s="47" t="s">
        <v>4</v>
      </c>
    </row>
    <row r="9" spans="1:25" ht="15" customHeight="1" x14ac:dyDescent="0.3">
      <c r="A9" s="193" t="str">
        <f>PROPER(TEXT(B9, "dddd"))</f>
        <v>Torsdag</v>
      </c>
      <c r="B9" s="195">
        <f t="shared" ref="B9" si="4">Torsdag30</f>
        <v>45862</v>
      </c>
      <c r="C9" s="40"/>
      <c r="D9" s="48"/>
      <c r="E9" s="49"/>
      <c r="F9" s="50"/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s="10" customFormat="1" ht="20.100000000000001" hidden="1" customHeight="1" x14ac:dyDescent="0.3">
      <c r="A10" s="193" t="s">
        <v>0</v>
      </c>
      <c r="B10" s="195" t="s">
        <v>1</v>
      </c>
      <c r="C10" s="44" t="s">
        <v>824</v>
      </c>
      <c r="D10" s="45" t="s">
        <v>2</v>
      </c>
      <c r="E10" s="46" t="s">
        <v>3</v>
      </c>
      <c r="F10" s="47" t="s">
        <v>4</v>
      </c>
    </row>
    <row r="11" spans="1:25" ht="15" customHeight="1" x14ac:dyDescent="0.3">
      <c r="A11" s="193" t="str">
        <f>PROPER(TEXT(B11, "dddd"))</f>
        <v>Fredag</v>
      </c>
      <c r="B11" s="195">
        <f t="shared" ref="B11" si="5">Fredag30</f>
        <v>45863</v>
      </c>
      <c r="C11" s="40"/>
      <c r="D11" s="48"/>
      <c r="E11" s="49"/>
      <c r="F11" s="50"/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193" t="s">
        <v>0</v>
      </c>
      <c r="B12" s="195" t="s">
        <v>1</v>
      </c>
      <c r="C12" s="44" t="s">
        <v>824</v>
      </c>
      <c r="D12" s="45" t="s">
        <v>2</v>
      </c>
      <c r="E12" s="46" t="s">
        <v>3</v>
      </c>
      <c r="F12" s="47" t="s">
        <v>4</v>
      </c>
    </row>
    <row r="13" spans="1:25" ht="15" customHeight="1" x14ac:dyDescent="0.3">
      <c r="A13" s="193" t="str">
        <f>PROPER(TEXT(B13, "dddd"))</f>
        <v>Lördag</v>
      </c>
      <c r="B13" s="195">
        <f t="shared" ref="B13" si="6">Lördag30</f>
        <v>45864</v>
      </c>
      <c r="C13" s="40"/>
      <c r="D13" s="48"/>
      <c r="E13" s="49"/>
      <c r="F13" s="50"/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193" t="s">
        <v>0</v>
      </c>
      <c r="B14" s="195" t="s">
        <v>1</v>
      </c>
      <c r="C14" s="44" t="s">
        <v>824</v>
      </c>
      <c r="D14" s="45" t="s">
        <v>2</v>
      </c>
      <c r="E14" s="46" t="s">
        <v>3</v>
      </c>
      <c r="F14" s="47" t="s">
        <v>4</v>
      </c>
    </row>
    <row r="15" spans="1:25" ht="15" customHeight="1" x14ac:dyDescent="0.3">
      <c r="A15" s="193" t="str">
        <f>PROPER(TEXT(B15, "dddd"))</f>
        <v>Söndag</v>
      </c>
      <c r="B15" s="195">
        <f t="shared" ref="B15" si="7">Söndag30</f>
        <v>45865</v>
      </c>
      <c r="C15" s="40"/>
      <c r="D15" s="48"/>
      <c r="E15" s="49"/>
      <c r="F15" s="50"/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7" spans="3:4" ht="15" customHeight="1" x14ac:dyDescent="0.3">
      <c r="C17" s="40"/>
      <c r="D17" s="41"/>
    </row>
    <row r="18" spans="3:4" ht="15" customHeight="1" x14ac:dyDescent="0.3">
      <c r="C18" s="40"/>
      <c r="D18" s="8"/>
    </row>
    <row r="19" spans="3:4" ht="15" customHeight="1" x14ac:dyDescent="0.3">
      <c r="C19" s="40"/>
      <c r="D19" s="8"/>
    </row>
  </sheetData>
  <sheetProtection algorithmName="SHA-512" hashValue="/fmCC74z8aklFQQ3flrISDWLAfWiHdIVvmbVverLoG1SBX3/Go3gOJC1zdG2Cb1nwRZsiEABOaEocgcNQ3s6+w==" saltValue="4GL1dtdXY31vmyJuZ9ILGQ==" spinCount="100000" sheet="1" objects="1" scenarios="1" autoFilter="0" pivotTables="0"/>
  <conditionalFormatting sqref="A3 A5 A9 A11 A13 A15">
    <cfRule type="cellIs" dxfId="549" priority="1" operator="equal">
      <formula>"Datum"</formula>
    </cfRule>
    <cfRule type="cellIs" dxfId="548" priority="2" operator="equal">
      <formula>"Dag"</formula>
    </cfRule>
    <cfRule type="expression" dxfId="547" priority="4">
      <formula>OR(IF($A2="Dag",1))</formula>
    </cfRule>
  </conditionalFormatting>
  <conditionalFormatting sqref="A14">
    <cfRule type="expression" dxfId="546" priority="22">
      <formula>OR(IF(#REF!="Dag",1))</formula>
    </cfRule>
  </conditionalFormatting>
  <conditionalFormatting sqref="A1:B2 B3 A4:B4 B5 A6:B6 A8:B8 B9 A10:B10 B11 A12:B12 B13 A14:B14 B15 A16:B1048576 B7">
    <cfRule type="cellIs" dxfId="545" priority="14" operator="equal">
      <formula>"Datum"</formula>
    </cfRule>
    <cfRule type="cellIs" dxfId="544" priority="15" operator="equal">
      <formula>"Dag"</formula>
    </cfRule>
  </conditionalFormatting>
  <conditionalFormatting sqref="B3 B5 B9 B11 B13 B15">
    <cfRule type="expression" dxfId="543" priority="21">
      <formula>OR(IF($B2="Datum",1))</formula>
    </cfRule>
  </conditionalFormatting>
  <conditionalFormatting sqref="C3:E15">
    <cfRule type="expression" dxfId="542" priority="18">
      <formula>OR(IF($E3="Hela hallen",1))</formula>
    </cfRule>
  </conditionalFormatting>
  <conditionalFormatting sqref="L1:T1048576">
    <cfRule type="cellIs" dxfId="541" priority="13" operator="equal">
      <formula>"-"</formula>
    </cfRule>
  </conditionalFormatting>
  <conditionalFormatting sqref="C3:F15">
    <cfRule type="expression" dxfId="539" priority="3113">
      <formula>OR(IF(#REF!=TRUE,1))</formula>
    </cfRule>
  </conditionalFormatting>
  <conditionalFormatting sqref="A4 A6 A8 A10 A12">
    <cfRule type="expression" dxfId="538" priority="3114">
      <formula>OR(IF(#REF!="Dag",1))</formula>
    </cfRule>
  </conditionalFormatting>
  <conditionalFormatting sqref="B4 B6:B8 B10 B12 B14">
    <cfRule type="expression" dxfId="537" priority="3116">
      <formula>OR(IF(#REF!="Datum",1))</formula>
    </cfRule>
  </conditionalFormatting>
  <conditionalFormatting sqref="A7">
    <cfRule type="cellIs" dxfId="535" priority="3126" operator="equal">
      <formula>"Datum"</formula>
    </cfRule>
    <cfRule type="cellIs" dxfId="534" priority="3127" operator="equal">
      <formula>"Dag"</formula>
    </cfRule>
    <cfRule type="expression" dxfId="533" priority="3128">
      <formula>OR(IF(#REF!="Dag",1))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F433908-CCD6-4A5F-96A5-59F49CFE147F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A5:B5 A9:B9 A11:B11 A13:B13 A15:B15</xm:sqref>
        </x14:conditionalFormatting>
        <x14:conditionalFormatting xmlns:xm="http://schemas.microsoft.com/office/excel/2006/main">
          <x14:cfRule type="expression" priority="3125" id="{18451F43-94D5-421B-814A-C5352D2E299D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A6:B8 A10:B10 A12:B12 A14:B14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8B8123C-84FD-4BD9-924F-440AE21BB575}">
          <x14:formula1>
            <xm:f>Kontaktuppgifter!$A$2:$A$300</xm:f>
          </x14:formula1>
          <xm:sqref>F3 F5 F9 F11 F13 F15 F7</xm:sqref>
        </x14:dataValidation>
        <x14:dataValidation type="list" allowBlank="1" showInputMessage="1" showErrorMessage="1" xr:uid="{77B1D089-F128-47CE-A395-525940BA1A70}">
          <x14:formula1>
            <xm:f>Listor!$A$2:$A$150</xm:f>
          </x14:formula1>
          <xm:sqref>E3 E5 E9 E11 E13 E15 E7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56F71-BCD0-4CA2-9C58-8CEBF8A07F8F}">
  <sheetPr codeName="Blad32">
    <pageSetUpPr fitToPage="1"/>
  </sheetPr>
  <dimension ref="A1:Y19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Måndag31</f>
        <v>45866</v>
      </c>
      <c r="W1" s="33">
        <f>Söndag31</f>
        <v>45872</v>
      </c>
      <c r="X1" s="34">
        <f>WEEKNUM(Söndag31, 2)</f>
        <v>31</v>
      </c>
      <c r="Y1" s="35" t="str">
        <f>"V. "&amp;X1&amp;", "&amp;TEXT(V1,"D MMM")&amp;"-"&amp;TEXT(W1,"D MMM")</f>
        <v>V. 31, 28 jul-3 aug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>PROPER(TEXT(B3, "dddd"))</f>
        <v>Måndag</v>
      </c>
      <c r="B3" s="194">
        <f t="shared" ref="B3" si="0">Måndag31</f>
        <v>45866</v>
      </c>
      <c r="C3" s="40"/>
      <c r="D3" s="41"/>
      <c r="E3" s="42"/>
      <c r="F3" s="43"/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>PROPER(TEXT(B5, "dddd"))</f>
        <v>Tisdag</v>
      </c>
      <c r="B5" s="195">
        <f t="shared" ref="B5" si="1">Tisdag31</f>
        <v>45867</v>
      </c>
      <c r="C5" s="40"/>
      <c r="D5" s="48"/>
      <c r="E5" s="49"/>
      <c r="F5" s="50"/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193" t="s">
        <v>0</v>
      </c>
      <c r="B6" s="195" t="s">
        <v>1</v>
      </c>
      <c r="C6" s="44" t="s">
        <v>824</v>
      </c>
      <c r="D6" s="45" t="s">
        <v>2</v>
      </c>
      <c r="E6" s="46" t="s">
        <v>3</v>
      </c>
      <c r="F6" s="47" t="s">
        <v>4</v>
      </c>
    </row>
    <row r="7" spans="1:25" ht="15" customHeight="1" x14ac:dyDescent="0.3">
      <c r="A7" s="193" t="str">
        <f>PROPER(TEXT(B7, "dddd"))</f>
        <v>Onsdag</v>
      </c>
      <c r="B7" s="195">
        <f t="shared" ref="B7" si="2">Onsdag31</f>
        <v>45868</v>
      </c>
      <c r="C7" s="40"/>
      <c r="D7" s="48"/>
      <c r="E7" s="49"/>
      <c r="F7" s="50"/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193" t="s">
        <v>0</v>
      </c>
      <c r="B8" s="195" t="s">
        <v>1</v>
      </c>
      <c r="C8" s="44" t="s">
        <v>824</v>
      </c>
      <c r="D8" s="45" t="s">
        <v>2</v>
      </c>
      <c r="E8" s="46" t="s">
        <v>3</v>
      </c>
      <c r="F8" s="47" t="s">
        <v>4</v>
      </c>
    </row>
    <row r="9" spans="1:25" ht="15" customHeight="1" x14ac:dyDescent="0.3">
      <c r="A9" s="193" t="str">
        <f>PROPER(TEXT(B9, "dddd"))</f>
        <v>Torsdag</v>
      </c>
      <c r="B9" s="195">
        <f t="shared" ref="B9" si="3">Torsdag31</f>
        <v>45869</v>
      </c>
      <c r="C9" s="40"/>
      <c r="D9" s="48"/>
      <c r="E9" s="49"/>
      <c r="F9" s="50"/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s="10" customFormat="1" ht="20.100000000000001" hidden="1" customHeight="1" x14ac:dyDescent="0.3">
      <c r="A10" s="193" t="s">
        <v>0</v>
      </c>
      <c r="B10" s="195" t="s">
        <v>1</v>
      </c>
      <c r="C10" s="44" t="s">
        <v>824</v>
      </c>
      <c r="D10" s="45" t="s">
        <v>2</v>
      </c>
      <c r="E10" s="46" t="s">
        <v>3</v>
      </c>
      <c r="F10" s="47" t="s">
        <v>4</v>
      </c>
    </row>
    <row r="11" spans="1:25" ht="15" customHeight="1" x14ac:dyDescent="0.3">
      <c r="A11" s="193" t="str">
        <f>PROPER(TEXT(B11, "dddd"))</f>
        <v>Fredag</v>
      </c>
      <c r="B11" s="195">
        <f t="shared" ref="B11" si="4">Fredag31</f>
        <v>45870</v>
      </c>
      <c r="C11" s="40"/>
      <c r="D11" s="48"/>
      <c r="E11" s="49"/>
      <c r="F11" s="50"/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193" t="s">
        <v>0</v>
      </c>
      <c r="B12" s="195" t="s">
        <v>1</v>
      </c>
      <c r="C12" s="44" t="s">
        <v>824</v>
      </c>
      <c r="D12" s="45" t="s">
        <v>2</v>
      </c>
      <c r="E12" s="46" t="s">
        <v>3</v>
      </c>
      <c r="F12" s="47" t="s">
        <v>4</v>
      </c>
    </row>
    <row r="13" spans="1:25" ht="15" customHeight="1" x14ac:dyDescent="0.3">
      <c r="A13" s="193" t="str">
        <f>PROPER(TEXT(B13, "dddd"))</f>
        <v>Lördag</v>
      </c>
      <c r="B13" s="195">
        <f t="shared" ref="B13" si="5">Lördag31</f>
        <v>45871</v>
      </c>
      <c r="C13" s="40"/>
      <c r="D13" s="48"/>
      <c r="E13" s="49"/>
      <c r="F13" s="50"/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193" t="s">
        <v>0</v>
      </c>
      <c r="B14" s="195" t="s">
        <v>1</v>
      </c>
      <c r="C14" s="44" t="s">
        <v>824</v>
      </c>
      <c r="D14" s="45" t="s">
        <v>2</v>
      </c>
      <c r="E14" s="46" t="s">
        <v>3</v>
      </c>
      <c r="F14" s="47" t="s">
        <v>4</v>
      </c>
    </row>
    <row r="15" spans="1:25" ht="15" customHeight="1" x14ac:dyDescent="0.3">
      <c r="A15" s="193" t="str">
        <f>PROPER(TEXT(B15, "dddd"))</f>
        <v>Söndag</v>
      </c>
      <c r="B15" s="195">
        <f t="shared" ref="B15" si="6">Söndag31</f>
        <v>45872</v>
      </c>
      <c r="C15" s="40"/>
      <c r="D15" s="48"/>
      <c r="E15" s="49"/>
      <c r="F15" s="50"/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7" spans="3:4" ht="15" customHeight="1" x14ac:dyDescent="0.3">
      <c r="C17" s="40"/>
      <c r="D17" s="41"/>
    </row>
    <row r="18" spans="3:4" ht="15" customHeight="1" x14ac:dyDescent="0.3">
      <c r="C18" s="40"/>
      <c r="D18" s="8"/>
    </row>
    <row r="19" spans="3:4" ht="15" customHeight="1" x14ac:dyDescent="0.3">
      <c r="C19" s="40"/>
      <c r="D19" s="8"/>
    </row>
  </sheetData>
  <sheetProtection algorithmName="SHA-512" hashValue="OyguUec3m1Gj9K/5b3a8X8R6Ogr+HF8/LN+6yTe5dnGvG7aMH0/53kYpQaqAXKgQAC+BBWGIAtdqt3naExmCmg==" saltValue="wcsTB87jEGV/ZkPKiuMMBQ==" spinCount="100000" sheet="1" objects="1" scenarios="1" autoFilter="0" pivotTables="0"/>
  <conditionalFormatting sqref="A3 A5 A7 A9 A11 A13 A15">
    <cfRule type="cellIs" dxfId="532" priority="1" operator="equal">
      <formula>"Datum"</formula>
    </cfRule>
    <cfRule type="cellIs" dxfId="531" priority="2" operator="equal">
      <formula>"Dag"</formula>
    </cfRule>
    <cfRule type="expression" dxfId="530" priority="4">
      <formula>OR(IF($A2="Dag",1))</formula>
    </cfRule>
  </conditionalFormatting>
  <conditionalFormatting sqref="A14">
    <cfRule type="expression" dxfId="529" priority="22">
      <formula>OR(IF(#REF!="Dag",1))</formula>
    </cfRule>
  </conditionalFormatting>
  <conditionalFormatting sqref="A1:B2 B3 A4:B4 B5 A6:B6 B7 A8:B8 B9 A10:B10 B11 A12:B12 B13 A14:B14 B15 A16:B1048576">
    <cfRule type="cellIs" dxfId="528" priority="14" operator="equal">
      <formula>"Datum"</formula>
    </cfRule>
    <cfRule type="cellIs" dxfId="527" priority="15" operator="equal">
      <formula>"Dag"</formula>
    </cfRule>
  </conditionalFormatting>
  <conditionalFormatting sqref="B3 B5 B7 B9 B11 B13 B15">
    <cfRule type="expression" dxfId="526" priority="21">
      <formula>OR(IF($B2="Datum",1))</formula>
    </cfRule>
  </conditionalFormatting>
  <conditionalFormatting sqref="C3:E15">
    <cfRule type="expression" dxfId="525" priority="18">
      <formula>OR(IF($E3="Hela hallen",1))</formula>
    </cfRule>
  </conditionalFormatting>
  <conditionalFormatting sqref="L1:T1048576">
    <cfRule type="cellIs" dxfId="524" priority="13" operator="equal">
      <formula>"-"</formula>
    </cfRule>
  </conditionalFormatting>
  <conditionalFormatting sqref="C3:F15">
    <cfRule type="expression" dxfId="522" priority="3130">
      <formula>OR(IF(#REF!=TRUE,1))</formula>
    </cfRule>
  </conditionalFormatting>
  <conditionalFormatting sqref="A4 A6 A8 A10 A12">
    <cfRule type="expression" dxfId="521" priority="3131">
      <formula>OR(IF(#REF!="Dag",1))</formula>
    </cfRule>
  </conditionalFormatting>
  <conditionalFormatting sqref="B4 B6 B8 B10 B12 B14">
    <cfRule type="expression" dxfId="520" priority="3133">
      <formula>OR(IF(#REF!="Datum",1))</formula>
    </cfRule>
  </conditionalFormatting>
  <printOptions horizontalCentered="1" verticalCentered="1"/>
  <pageMargins left="0.25" right="0.25" top="0.75" bottom="0.75" header="0.3" footer="0.3"/>
  <pageSetup paperSize="8" scale="26" orientation="portrait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2ECC728-C6B3-4895-B8BC-35C71A0AAC85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A5:B5 A7:B7 A9:B9 A11:B11 A13:B13 A15:B15</xm:sqref>
        </x14:conditionalFormatting>
        <x14:conditionalFormatting xmlns:xm="http://schemas.microsoft.com/office/excel/2006/main">
          <x14:cfRule type="expression" priority="3142" id="{5E2D4916-3DAC-44B5-9135-3BBC2A7A234F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A6:B6 A8:B8 A10:B10 A12:B12 A14:B14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EFBFEA1-BC32-458F-BF93-E889EE29D512}">
          <x14:formula1>
            <xm:f>Listor!$A$2:$A$150</xm:f>
          </x14:formula1>
          <xm:sqref>E3 E5 E7 E9 E11 E13 E15</xm:sqref>
        </x14:dataValidation>
        <x14:dataValidation type="list" allowBlank="1" showInputMessage="1" showErrorMessage="1" xr:uid="{0C184DDC-F4E3-452B-959B-4D174E8051CA}">
          <x14:formula1>
            <xm:f>Kontaktuppgifter!$A$2:$A$300</xm:f>
          </x14:formula1>
          <xm:sqref>F3 F5 F7 F9 F11 F13 F15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3332-1763-4336-81E9-21893394EDFD}">
  <sheetPr codeName="Blad33">
    <pageSetUpPr fitToPage="1"/>
  </sheetPr>
  <dimension ref="A1:Y25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41.332031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Måndag32</f>
        <v>45873</v>
      </c>
      <c r="W1" s="33">
        <f>Söndag32</f>
        <v>45879</v>
      </c>
      <c r="X1" s="34">
        <f>WEEKNUM(Söndag32, 2)</f>
        <v>32</v>
      </c>
      <c r="Y1" s="35" t="str">
        <f>"V. "&amp;X1&amp;", "&amp;TEXT(V1,"D MMM")&amp;"-"&amp;TEXT(W1,"D MMM")</f>
        <v>V. 32, 4 aug-10 aug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>PROPER(TEXT(B3, "dddd"))</f>
        <v>Måndag</v>
      </c>
      <c r="B3" s="194">
        <f>Måndag32</f>
        <v>45873</v>
      </c>
      <c r="C3" s="40">
        <v>0.33333333333333331</v>
      </c>
      <c r="D3" s="41">
        <v>0.39583333333333331</v>
      </c>
      <c r="E3" s="42" t="s">
        <v>72</v>
      </c>
      <c r="F3" s="43" t="s">
        <v>940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193"/>
      <c r="B4" s="194"/>
      <c r="C4" s="40">
        <v>0.66666666666666663</v>
      </c>
      <c r="D4" s="41">
        <v>0.75</v>
      </c>
      <c r="E4" s="42" t="s">
        <v>78</v>
      </c>
      <c r="F4" s="43" t="s">
        <v>928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193"/>
      <c r="B5" s="194"/>
      <c r="C5" s="40">
        <v>0.75</v>
      </c>
      <c r="D5" s="41">
        <v>0.83333333333333337</v>
      </c>
      <c r="E5" s="42" t="s">
        <v>78</v>
      </c>
      <c r="F5" s="43" t="s">
        <v>935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hidden="1" customHeight="1" x14ac:dyDescent="0.3">
      <c r="A6" s="193" t="s">
        <v>0</v>
      </c>
      <c r="B6" s="195" t="s">
        <v>1</v>
      </c>
      <c r="C6" s="44" t="s">
        <v>824</v>
      </c>
      <c r="D6" s="45" t="s">
        <v>2</v>
      </c>
      <c r="E6" s="46" t="s">
        <v>3</v>
      </c>
      <c r="F6" s="47" t="s">
        <v>4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 t="str">
        <f t="shared" ref="A7" si="0">PROPER(TEXT(B7, "dddd"))</f>
        <v>Tisdag</v>
      </c>
      <c r="B7" s="195">
        <f t="shared" ref="B7" si="1">Tisdag32</f>
        <v>45874</v>
      </c>
      <c r="C7" s="40">
        <v>0.33333333333333331</v>
      </c>
      <c r="D7" s="48">
        <v>0.5</v>
      </c>
      <c r="E7" s="49" t="s">
        <v>78</v>
      </c>
      <c r="F7" s="50" t="s">
        <v>710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193"/>
      <c r="B8" s="195"/>
      <c r="C8" s="40">
        <v>0.54166666666666663</v>
      </c>
      <c r="D8" s="48">
        <v>0.66666666666666663</v>
      </c>
      <c r="E8" s="49" t="s">
        <v>89</v>
      </c>
      <c r="F8" s="50" t="s">
        <v>710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193"/>
      <c r="B9" s="195"/>
      <c r="C9" s="40">
        <v>0.6875</v>
      </c>
      <c r="D9" s="48">
        <v>0.70833333333333337</v>
      </c>
      <c r="E9" s="49" t="s">
        <v>88</v>
      </c>
      <c r="F9" s="50" t="s">
        <v>722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0.6875</v>
      </c>
      <c r="D10" s="48">
        <v>0.77083333333333337</v>
      </c>
      <c r="E10" s="49" t="s">
        <v>78</v>
      </c>
      <c r="F10" s="50" t="s">
        <v>928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s="10" customFormat="1" ht="15" customHeight="1" x14ac:dyDescent="0.3">
      <c r="A11" s="193"/>
      <c r="B11" s="195"/>
      <c r="C11" s="40">
        <v>0.72916666666666663</v>
      </c>
      <c r="D11" s="48">
        <v>0.8125</v>
      </c>
      <c r="E11" s="49" t="s">
        <v>78</v>
      </c>
      <c r="F11" s="50" t="s">
        <v>928</v>
      </c>
    </row>
    <row r="12" spans="1:25" ht="15" hidden="1" customHeight="1" x14ac:dyDescent="0.3">
      <c r="A12" s="193" t="s">
        <v>0</v>
      </c>
      <c r="B12" s="195" t="s">
        <v>1</v>
      </c>
      <c r="C12" s="44" t="s">
        <v>824</v>
      </c>
      <c r="D12" s="45" t="s">
        <v>2</v>
      </c>
      <c r="E12" s="46" t="s">
        <v>3</v>
      </c>
      <c r="F12" s="47" t="s">
        <v>4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s="10" customFormat="1" ht="15" customHeight="1" x14ac:dyDescent="0.3">
      <c r="A13" s="193" t="str">
        <f>PROPER(TEXT(B13, "dddd"))</f>
        <v>Onsdag</v>
      </c>
      <c r="B13" s="195">
        <f t="shared" ref="B13" si="2">Onsdag32</f>
        <v>45875</v>
      </c>
      <c r="C13" s="40">
        <v>0.6875</v>
      </c>
      <c r="D13" s="48">
        <v>0.8125</v>
      </c>
      <c r="E13" s="49" t="s">
        <v>78</v>
      </c>
      <c r="F13" s="50" t="s">
        <v>928</v>
      </c>
    </row>
    <row r="14" spans="1:25" ht="15" hidden="1" customHeight="1" x14ac:dyDescent="0.3">
      <c r="A14" s="193" t="s">
        <v>0</v>
      </c>
      <c r="B14" s="195" t="s">
        <v>1</v>
      </c>
      <c r="C14" s="44" t="s">
        <v>824</v>
      </c>
      <c r="D14" s="45" t="s">
        <v>2</v>
      </c>
      <c r="E14" s="46" t="s">
        <v>3</v>
      </c>
      <c r="F14" s="47" t="s">
        <v>4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s="10" customFormat="1" ht="15" customHeight="1" x14ac:dyDescent="0.3">
      <c r="A15" s="193" t="str">
        <f>PROPER(TEXT(B15, "dddd"))</f>
        <v>Torsdag</v>
      </c>
      <c r="B15" s="195">
        <f t="shared" ref="B15" si="3">Torsdag32</f>
        <v>45876</v>
      </c>
      <c r="C15" s="40">
        <v>0.66666666666666663</v>
      </c>
      <c r="D15" s="48">
        <v>0.8125</v>
      </c>
      <c r="E15" s="49" t="s">
        <v>78</v>
      </c>
      <c r="F15" s="50" t="s">
        <v>935</v>
      </c>
    </row>
    <row r="16" spans="1:25" ht="15" hidden="1" customHeight="1" x14ac:dyDescent="0.3">
      <c r="A16" s="193" t="s">
        <v>0</v>
      </c>
      <c r="B16" s="195" t="s">
        <v>1</v>
      </c>
      <c r="C16" s="44" t="s">
        <v>824</v>
      </c>
      <c r="D16" s="45" t="s">
        <v>2</v>
      </c>
      <c r="E16" s="46" t="s">
        <v>3</v>
      </c>
      <c r="F16" s="47" t="s">
        <v>4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s="10" customFormat="1" ht="15" customHeight="1" x14ac:dyDescent="0.3">
      <c r="A17" s="193" t="str">
        <f>PROPER(TEXT(B17, "dddd"))</f>
        <v>Fredag</v>
      </c>
      <c r="B17" s="195">
        <f t="shared" ref="B17" si="4">Fredag32</f>
        <v>45877</v>
      </c>
      <c r="C17" s="40">
        <v>0.6875</v>
      </c>
      <c r="D17" s="48">
        <v>0.8125</v>
      </c>
      <c r="E17" s="49"/>
      <c r="F17" s="50" t="s">
        <v>956</v>
      </c>
    </row>
    <row r="18" spans="1:24" ht="15" hidden="1" customHeight="1" x14ac:dyDescent="0.3">
      <c r="A18" s="193" t="s">
        <v>0</v>
      </c>
      <c r="B18" s="195" t="s">
        <v>1</v>
      </c>
      <c r="C18" s="44" t="s">
        <v>824</v>
      </c>
      <c r="D18" s="45" t="s">
        <v>2</v>
      </c>
      <c r="E18" s="46" t="s">
        <v>3</v>
      </c>
      <c r="F18" s="47" t="s">
        <v>4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s="10" customFormat="1" ht="15" customHeight="1" x14ac:dyDescent="0.3">
      <c r="A19" s="193" t="str">
        <f>PROPER(TEXT(B19, "dddd"))</f>
        <v>Lördag</v>
      </c>
      <c r="B19" s="195">
        <f t="shared" ref="B19" si="5">Lördag32</f>
        <v>45878</v>
      </c>
      <c r="C19" s="40"/>
      <c r="D19" s="48"/>
      <c r="E19" s="49"/>
      <c r="F19" s="50"/>
    </row>
    <row r="20" spans="1:24" ht="15" hidden="1" customHeight="1" x14ac:dyDescent="0.3">
      <c r="A20" s="193" t="s">
        <v>0</v>
      </c>
      <c r="B20" s="195" t="s">
        <v>1</v>
      </c>
      <c r="C20" s="44" t="s">
        <v>824</v>
      </c>
      <c r="D20" s="45" t="s">
        <v>2</v>
      </c>
      <c r="E20" s="46" t="s">
        <v>3</v>
      </c>
      <c r="F20" s="47" t="s">
        <v>4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193" t="str">
        <f>PROPER(TEXT(B21, "dddd"))</f>
        <v>Söndag</v>
      </c>
      <c r="B21" s="195">
        <f t="shared" ref="B21" si="6">Söndag32</f>
        <v>45879</v>
      </c>
      <c r="C21" s="40"/>
      <c r="D21" s="48"/>
      <c r="E21" s="49"/>
      <c r="F21" s="50"/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3" spans="1:24" ht="15" customHeight="1" x14ac:dyDescent="0.3">
      <c r="C23" s="40"/>
      <c r="D23" s="41"/>
    </row>
    <row r="24" spans="1:24" ht="15" customHeight="1" x14ac:dyDescent="0.3">
      <c r="C24" s="40"/>
      <c r="D24" s="8"/>
    </row>
    <row r="25" spans="1:24" ht="15" customHeight="1" x14ac:dyDescent="0.3">
      <c r="C25" s="40"/>
      <c r="D25" s="8"/>
    </row>
  </sheetData>
  <sheetProtection algorithmName="SHA-512" hashValue="c/BvNKMKkmccJL0R7HTBHjpDl8HWAkZHo5PzRy45m7wQQ2cg1lYuRzUNfv06pWND3xmbnd6wgX+CDqP1+vxI/A==" saltValue="25ToI8qGbXjDz2ekTh5utQ==" spinCount="100000" sheet="1" objects="1" scenarios="1" autoFilter="0" pivotTables="0"/>
  <conditionalFormatting sqref="A3:A4 A7:A10 A13 A15 A17 A19 A21">
    <cfRule type="cellIs" dxfId="518" priority="1" operator="equal">
      <formula>"Datum"</formula>
    </cfRule>
    <cfRule type="cellIs" dxfId="517" priority="2" operator="equal">
      <formula>"Dag"</formula>
    </cfRule>
    <cfRule type="expression" dxfId="516" priority="4">
      <formula>OR(IF($A2="Dag",1))</formula>
    </cfRule>
  </conditionalFormatting>
  <conditionalFormatting sqref="A6">
    <cfRule type="expression" dxfId="515" priority="22">
      <formula>OR(IF($A5="Dag",1))</formula>
    </cfRule>
  </conditionalFormatting>
  <conditionalFormatting sqref="A1:B2 A6:B6 A12:B12 A14:B14 A16:B16 A18:B18 A20:B20 A22:B1048576 B13 B15 B17 B19 B21 B3:B5 B7:B11">
    <cfRule type="cellIs" dxfId="514" priority="14" operator="equal">
      <formula>"Datum"</formula>
    </cfRule>
    <cfRule type="cellIs" dxfId="513" priority="15" operator="equal">
      <formula>"Dag"</formula>
    </cfRule>
  </conditionalFormatting>
  <conditionalFormatting sqref="B3:B4 B13 B6:B10 B15 B17 B19 B21">
    <cfRule type="expression" dxfId="512" priority="21">
      <formula>OR(IF($B2="Datum",1))</formula>
    </cfRule>
  </conditionalFormatting>
  <conditionalFormatting sqref="C3:E21">
    <cfRule type="expression" dxfId="511" priority="18">
      <formula>OR(IF($E3="Hela hallen",1))</formula>
    </cfRule>
  </conditionalFormatting>
  <conditionalFormatting sqref="L1:T1048576">
    <cfRule type="cellIs" dxfId="510" priority="13" operator="equal">
      <formula>"-"</formula>
    </cfRule>
  </conditionalFormatting>
  <conditionalFormatting sqref="A5 A11">
    <cfRule type="cellIs" dxfId="509" priority="1821" operator="equal">
      <formula>"Datum"</formula>
    </cfRule>
    <cfRule type="cellIs" dxfId="508" priority="1822" operator="equal">
      <formula>"Dag"</formula>
    </cfRule>
    <cfRule type="expression" dxfId="507" priority="1823">
      <formula>OR(IF(#REF!="Dag",1))</formula>
    </cfRule>
  </conditionalFormatting>
  <conditionalFormatting sqref="B5 B11">
    <cfRule type="expression" dxfId="506" priority="1829">
      <formula>OR(IF(#REF!="Datum",1))</formula>
    </cfRule>
  </conditionalFormatting>
  <conditionalFormatting sqref="A12">
    <cfRule type="expression" dxfId="505" priority="1840">
      <formula>OR(IF($A11="Dag",1))</formula>
    </cfRule>
  </conditionalFormatting>
  <conditionalFormatting sqref="B12">
    <cfRule type="expression" dxfId="504" priority="1843">
      <formula>OR(IF($B11="Datum",1))</formula>
    </cfRule>
  </conditionalFormatting>
  <conditionalFormatting sqref="C3:F21">
    <cfRule type="expression" dxfId="501" priority="3144">
      <formula>OR(IF(#REF!=TRUE,1))</formula>
    </cfRule>
  </conditionalFormatting>
  <conditionalFormatting sqref="A14 A16 A18 A20">
    <cfRule type="expression" dxfId="500" priority="3145">
      <formula>OR(IF(#REF!="Dag",1))</formula>
    </cfRule>
  </conditionalFormatting>
  <conditionalFormatting sqref="B14 B16 B18 B20">
    <cfRule type="expression" dxfId="499" priority="3146">
      <formula>OR(IF(#REF!="Datum",1))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438D059-0D98-484B-B2A8-3E1B17D9FAE8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A3:B4 A15:B15 A17:B17 A19:B19 A21:B21 A6:B10 A12:B13</xm:sqref>
        </x14:conditionalFormatting>
        <x14:conditionalFormatting xmlns:xm="http://schemas.microsoft.com/office/excel/2006/main">
          <x14:cfRule type="expression" priority="1839" id="{A438D059-0D98-484B-B2A8-3E1B17D9FAE8}">
            <xm:f>AND(IF(ISERROR(MATCH($B5,Kalenderår!$A$3:$A$17,0)),FALSE,TRUE),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A5:B5 A11:B11</xm:sqref>
        </x14:conditionalFormatting>
        <x14:conditionalFormatting xmlns:xm="http://schemas.microsoft.com/office/excel/2006/main">
          <x14:cfRule type="expression" priority="3153" id="{5A2294D1-77A7-4352-BE0D-DAD4F87F95F2}">
            <xm:f>AND(IF(ISERROR(MATCH($B14,Kalenderår!$A$3:$A$17,0)),FALSE,TRUE),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A14:B14 A16:B16 A18:B18 A20:B20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33A914A-C940-44DB-85CE-EDC81E49122A}">
          <x14:formula1>
            <xm:f>Listor!$A$2:$A$150</xm:f>
          </x14:formula1>
          <xm:sqref>E13 E15 E17 E19 E21 E3:E5 E7:E11</xm:sqref>
        </x14:dataValidation>
        <x14:dataValidation type="list" allowBlank="1" showInputMessage="1" showErrorMessage="1" xr:uid="{C77B5E58-0535-42EA-8E6A-A8EDDED76D56}">
          <x14:formula1>
            <xm:f>Kontaktuppgifter!$A$2:$A$300</xm:f>
          </x14:formula1>
          <xm:sqref>F13 F15 F17 F19 F21 F3:F5 F7:F11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DEB45-1CC8-4A75-B7A9-4B7560758A1C}">
  <sheetPr codeName="Blad34">
    <pageSetUpPr fitToPage="1"/>
  </sheetPr>
  <dimension ref="A1:Y19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66" style="8" bestFit="1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Måndag33</f>
        <v>45880</v>
      </c>
      <c r="W1" s="33">
        <f>Söndag33</f>
        <v>45886</v>
      </c>
      <c r="X1" s="34">
        <f>WEEKNUM(Söndag33, 2)</f>
        <v>33</v>
      </c>
      <c r="Y1" s="35" t="str">
        <f>"V. "&amp;X1&amp;", "&amp;TEXT(V1,"D MMM")&amp;"-"&amp;TEXT(W1,"D MMM")</f>
        <v>V. 33, 11 aug-17 aug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>PROPER(TEXT(B3, "dddd"))</f>
        <v>Måndag</v>
      </c>
      <c r="B3" s="194">
        <f t="shared" ref="B3" si="0">Måndag33</f>
        <v>45880</v>
      </c>
      <c r="C3" s="40"/>
      <c r="D3" s="41"/>
      <c r="E3" s="42"/>
      <c r="F3" s="43"/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>PROPER(TEXT(B5, "dddd"))</f>
        <v>Tisdag</v>
      </c>
      <c r="B5" s="195">
        <f t="shared" ref="B5" si="1">Tisdag33</f>
        <v>45881</v>
      </c>
      <c r="C5" s="40">
        <v>0.72916666666666663</v>
      </c>
      <c r="D5" s="48">
        <v>0.77083333333333337</v>
      </c>
      <c r="E5" s="49" t="s">
        <v>72</v>
      </c>
      <c r="F5" s="50" t="s">
        <v>963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193" t="s">
        <v>0</v>
      </c>
      <c r="B6" s="195" t="s">
        <v>1</v>
      </c>
      <c r="C6" s="44" t="s">
        <v>824</v>
      </c>
      <c r="D6" s="45" t="s">
        <v>2</v>
      </c>
      <c r="E6" s="46" t="s">
        <v>3</v>
      </c>
      <c r="F6" s="47" t="s">
        <v>4</v>
      </c>
    </row>
    <row r="7" spans="1:25" ht="15" customHeight="1" x14ac:dyDescent="0.3">
      <c r="A7" s="193" t="str">
        <f>PROPER(TEXT(B7, "dddd"))</f>
        <v>Onsdag</v>
      </c>
      <c r="B7" s="195">
        <f t="shared" ref="B7" si="2">Onsdag33</f>
        <v>45882</v>
      </c>
      <c r="C7" s="40"/>
      <c r="D7" s="48"/>
      <c r="E7" s="49"/>
      <c r="F7" s="50"/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193" t="s">
        <v>0</v>
      </c>
      <c r="B8" s="195" t="s">
        <v>1</v>
      </c>
      <c r="C8" s="44" t="s">
        <v>824</v>
      </c>
      <c r="D8" s="45" t="s">
        <v>2</v>
      </c>
      <c r="E8" s="46" t="s">
        <v>3</v>
      </c>
      <c r="F8" s="47" t="s">
        <v>4</v>
      </c>
    </row>
    <row r="9" spans="1:25" ht="15" customHeight="1" x14ac:dyDescent="0.3">
      <c r="A9" s="193" t="str">
        <f>PROPER(TEXT(B9, "dddd"))</f>
        <v>Torsdag</v>
      </c>
      <c r="B9" s="195">
        <f t="shared" ref="B9" si="3">Torsdag33</f>
        <v>45883</v>
      </c>
      <c r="C9" s="40"/>
      <c r="D9" s="48"/>
      <c r="E9" s="49"/>
      <c r="F9" s="50"/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s="10" customFormat="1" ht="20.100000000000001" hidden="1" customHeight="1" x14ac:dyDescent="0.3">
      <c r="A10" s="193" t="s">
        <v>0</v>
      </c>
      <c r="B10" s="195" t="s">
        <v>1</v>
      </c>
      <c r="C10" s="44" t="s">
        <v>824</v>
      </c>
      <c r="D10" s="45" t="s">
        <v>2</v>
      </c>
      <c r="E10" s="46" t="s">
        <v>3</v>
      </c>
      <c r="F10" s="47" t="s">
        <v>4</v>
      </c>
    </row>
    <row r="11" spans="1:25" ht="15" customHeight="1" x14ac:dyDescent="0.3">
      <c r="A11" s="193" t="str">
        <f>PROPER(TEXT(B11, "dddd"))</f>
        <v>Fredag</v>
      </c>
      <c r="B11" s="195">
        <f t="shared" ref="B11" si="4">Fredag33</f>
        <v>45884</v>
      </c>
      <c r="C11" s="40"/>
      <c r="D11" s="48"/>
      <c r="E11" s="49"/>
      <c r="F11" s="50"/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193" t="s">
        <v>0</v>
      </c>
      <c r="B12" s="195" t="s">
        <v>1</v>
      </c>
      <c r="C12" s="44" t="s">
        <v>824</v>
      </c>
      <c r="D12" s="45" t="s">
        <v>2</v>
      </c>
      <c r="E12" s="46" t="s">
        <v>3</v>
      </c>
      <c r="F12" s="47" t="s">
        <v>4</v>
      </c>
    </row>
    <row r="13" spans="1:25" ht="15" customHeight="1" x14ac:dyDescent="0.3">
      <c r="A13" s="193" t="str">
        <f>PROPER(TEXT(B13, "dddd"))</f>
        <v>Lördag</v>
      </c>
      <c r="B13" s="195">
        <f t="shared" ref="B13" si="5">Lördag33</f>
        <v>45885</v>
      </c>
      <c r="C13" s="40"/>
      <c r="D13" s="48"/>
      <c r="E13" s="49"/>
      <c r="F13" s="50"/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193" t="s">
        <v>0</v>
      </c>
      <c r="B14" s="195" t="s">
        <v>1</v>
      </c>
      <c r="C14" s="44" t="s">
        <v>824</v>
      </c>
      <c r="D14" s="45" t="s">
        <v>2</v>
      </c>
      <c r="E14" s="46" t="s">
        <v>3</v>
      </c>
      <c r="F14" s="47" t="s">
        <v>4</v>
      </c>
    </row>
    <row r="15" spans="1:25" ht="15" customHeight="1" x14ac:dyDescent="0.3">
      <c r="A15" s="193" t="str">
        <f>PROPER(TEXT(B15, "dddd"))</f>
        <v>Söndag</v>
      </c>
      <c r="B15" s="195">
        <f t="shared" ref="B15" si="6">Söndag33</f>
        <v>45886</v>
      </c>
      <c r="C15" s="40"/>
      <c r="D15" s="48"/>
      <c r="E15" s="49"/>
      <c r="F15" s="50"/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7" spans="3:4" ht="15" customHeight="1" x14ac:dyDescent="0.3">
      <c r="C17" s="40"/>
      <c r="D17" s="41"/>
    </row>
    <row r="18" spans="3:4" ht="15" customHeight="1" x14ac:dyDescent="0.3">
      <c r="C18" s="40"/>
      <c r="D18" s="8"/>
    </row>
    <row r="19" spans="3:4" ht="15" customHeight="1" x14ac:dyDescent="0.3">
      <c r="C19" s="40"/>
      <c r="D19" s="8"/>
    </row>
  </sheetData>
  <sheetProtection algorithmName="SHA-512" hashValue="r7G5EdE3YoPz+tZ1VO7RU38Ob4WRmfK7KRZbcCITF1CwgSiZsLortWaSt6myutPiBGznfrwHwLjZMXnYrnIjKQ==" saltValue="oTq6R3rtzU11q4+2Cwu0fA==" spinCount="100000" sheet="1" objects="1" scenarios="1" autoFilter="0" pivotTables="0"/>
  <conditionalFormatting sqref="A3 A5 A7 A9 A11 A13 A15">
    <cfRule type="cellIs" dxfId="497" priority="1" operator="equal">
      <formula>"Datum"</formula>
    </cfRule>
    <cfRule type="cellIs" dxfId="496" priority="2" operator="equal">
      <formula>"Dag"</formula>
    </cfRule>
    <cfRule type="expression" dxfId="495" priority="4">
      <formula>OR(IF($A2="Dag",1))</formula>
    </cfRule>
  </conditionalFormatting>
  <conditionalFormatting sqref="A14">
    <cfRule type="expression" dxfId="494" priority="22">
      <formula>OR(IF(#REF!="Dag",1))</formula>
    </cfRule>
  </conditionalFormatting>
  <conditionalFormatting sqref="A1:B2 A4:B4 A6:B6 A8:B8 A10:B10 A12:B12 A14:B14 A16:B1048576 B3 B5 B7 B9 B11 B13 B15">
    <cfRule type="cellIs" dxfId="493" priority="14" operator="equal">
      <formula>"Datum"</formula>
    </cfRule>
    <cfRule type="cellIs" dxfId="492" priority="15" operator="equal">
      <formula>"Dag"</formula>
    </cfRule>
  </conditionalFormatting>
  <conditionalFormatting sqref="B3 B5 B7 B9 B11 B13 B15">
    <cfRule type="expression" dxfId="491" priority="21">
      <formula>OR(IF($B2="Datum",1))</formula>
    </cfRule>
  </conditionalFormatting>
  <conditionalFormatting sqref="C3:E15">
    <cfRule type="expression" dxfId="490" priority="18">
      <formula>OR(IF($E3="Hela hallen",1))</formula>
    </cfRule>
  </conditionalFormatting>
  <conditionalFormatting sqref="L1:T1048576">
    <cfRule type="cellIs" dxfId="489" priority="13" operator="equal">
      <formula>"-"</formula>
    </cfRule>
  </conditionalFormatting>
  <conditionalFormatting sqref="C3:F15">
    <cfRule type="expression" dxfId="487" priority="3155">
      <formula>OR(IF(#REF!=TRUE,1))</formula>
    </cfRule>
  </conditionalFormatting>
  <conditionalFormatting sqref="A4 A6 A8 A10 A12">
    <cfRule type="expression" dxfId="486" priority="3156">
      <formula>OR(IF(#REF!="Dag",1))</formula>
    </cfRule>
  </conditionalFormatting>
  <conditionalFormatting sqref="B4 B6 B8 B10 B12 B14">
    <cfRule type="expression" dxfId="485" priority="3157">
      <formula>OR(IF(#REF!="Datum",1))</formula>
    </cfRule>
  </conditionalFormatting>
  <printOptions horizontalCentered="1" verticalCentered="1"/>
  <pageMargins left="0.25" right="0.25" top="0.75" bottom="0.75" header="0.3" footer="0.3"/>
  <pageSetup paperSize="9" scale="24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39F69AB-4F45-414C-A3F4-5DA074276772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A5:B5 A7:B7 A9:B9 A11:B11 A13:B13 A15:B15</xm:sqref>
        </x14:conditionalFormatting>
        <x14:conditionalFormatting xmlns:xm="http://schemas.microsoft.com/office/excel/2006/main">
          <x14:cfRule type="expression" priority="3164" id="{272A41F4-C7A7-47E9-9876-8ECC92E7C4F6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A6:B6 A8:B8 A10:B10 A12:B12 A14:B14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77468A-7384-407A-8E04-39A1C608B9C4}">
          <x14:formula1>
            <xm:f>Kontaktuppgifter!$A$2:$A$300</xm:f>
          </x14:formula1>
          <xm:sqref>F3 F5 F7 F9 F11 F13 F15</xm:sqref>
        </x14:dataValidation>
        <x14:dataValidation type="list" allowBlank="1" showInputMessage="1" showErrorMessage="1" xr:uid="{04ADBBF6-7924-4557-AB7D-7A46575D5F34}">
          <x14:formula1>
            <xm:f>Listor!$A$2:$A$150</xm:f>
          </x14:formula1>
          <xm:sqref>E3 E5 E7 E9 E11 E13 E15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F899-06FC-4565-A880-24A9981BF193}">
  <sheetPr codeName="Blad35">
    <pageSetUpPr fitToPage="1"/>
  </sheetPr>
  <dimension ref="A1:Y22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Måndag34</f>
        <v>45887</v>
      </c>
      <c r="W1" s="33">
        <f>Söndag34</f>
        <v>45893</v>
      </c>
      <c r="X1" s="34">
        <f>WEEKNUM(Söndag34, 2)</f>
        <v>34</v>
      </c>
      <c r="Y1" s="35" t="str">
        <f>"V. "&amp;X1&amp;", "&amp;TEXT(V1,"D MMM")&amp;"-"&amp;TEXT(W1,"D MMM")</f>
        <v>V. 34, 18 aug-24 aug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>PROPER(TEXT(B3, "dddd"))</f>
        <v>Måndag</v>
      </c>
      <c r="B3" s="194">
        <f t="shared" ref="B3" si="0">Måndag34</f>
        <v>45887</v>
      </c>
      <c r="C3" s="40"/>
      <c r="D3" s="41"/>
      <c r="E3" s="42"/>
      <c r="F3" s="43"/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>PROPER(TEXT(B5, "dddd"))</f>
        <v>Tisdag</v>
      </c>
      <c r="B5" s="195">
        <f>Tisdag34</f>
        <v>45888</v>
      </c>
      <c r="C5" s="40">
        <v>0.375</v>
      </c>
      <c r="D5" s="48">
        <v>0.4375</v>
      </c>
      <c r="E5" s="49">
        <v>33</v>
      </c>
      <c r="F5" s="50" t="s">
        <v>507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5"/>
      <c r="C6" s="40">
        <v>0.72916666666666663</v>
      </c>
      <c r="D6" s="48">
        <v>0.77083333333333337</v>
      </c>
      <c r="E6" s="49" t="s">
        <v>72</v>
      </c>
      <c r="F6" s="50" t="s">
        <v>962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s="10" customFormat="1" ht="20.100000000000001" hidden="1" customHeight="1" x14ac:dyDescent="0.3">
      <c r="A7" s="193" t="s">
        <v>0</v>
      </c>
      <c r="B7" s="195" t="s">
        <v>1</v>
      </c>
      <c r="C7" s="44" t="s">
        <v>824</v>
      </c>
      <c r="D7" s="45" t="s">
        <v>2</v>
      </c>
      <c r="E7" s="46" t="s">
        <v>3</v>
      </c>
      <c r="F7" s="47" t="s">
        <v>4</v>
      </c>
    </row>
    <row r="8" spans="1:25" ht="15" customHeight="1" x14ac:dyDescent="0.3">
      <c r="A8" s="193" t="str">
        <f>PROPER(TEXT(B8, "dddd"))</f>
        <v>Onsdag</v>
      </c>
      <c r="B8" s="195">
        <f t="shared" ref="B8" si="1">Onsdag34</f>
        <v>45889</v>
      </c>
      <c r="C8" s="40">
        <v>0.70833333333333337</v>
      </c>
      <c r="D8" s="48">
        <v>0.79166666666666663</v>
      </c>
      <c r="E8" s="49" t="s">
        <v>72</v>
      </c>
      <c r="F8" s="50" t="s">
        <v>974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s="10" customFormat="1" ht="20.100000000000001" hidden="1" customHeight="1" x14ac:dyDescent="0.3">
      <c r="A9" s="193" t="s">
        <v>0</v>
      </c>
      <c r="B9" s="195" t="s">
        <v>1</v>
      </c>
      <c r="C9" s="44" t="s">
        <v>824</v>
      </c>
      <c r="D9" s="45" t="s">
        <v>2</v>
      </c>
      <c r="E9" s="46" t="s">
        <v>3</v>
      </c>
      <c r="F9" s="47" t="s">
        <v>4</v>
      </c>
    </row>
    <row r="10" spans="1:25" ht="15" customHeight="1" x14ac:dyDescent="0.3">
      <c r="A10" s="193" t="str">
        <f t="shared" ref="A10" si="2">PROPER(TEXT(B10, "dddd"))</f>
        <v>Torsdag</v>
      </c>
      <c r="B10" s="195">
        <f t="shared" ref="B10" si="3">Torsdag34</f>
        <v>45890</v>
      </c>
      <c r="C10" s="40">
        <v>0.375</v>
      </c>
      <c r="D10" s="48">
        <v>0.4375</v>
      </c>
      <c r="E10" s="49" t="s">
        <v>72</v>
      </c>
      <c r="F10" s="50" t="s">
        <v>507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0.72916666666666663</v>
      </c>
      <c r="D11" s="48">
        <v>0.77083333333333337</v>
      </c>
      <c r="E11" s="49" t="s">
        <v>72</v>
      </c>
      <c r="F11" s="50" t="s">
        <v>962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193" t="s">
        <v>0</v>
      </c>
      <c r="B12" s="195" t="s">
        <v>1</v>
      </c>
      <c r="C12" s="44" t="s">
        <v>824</v>
      </c>
      <c r="D12" s="45" t="s">
        <v>2</v>
      </c>
      <c r="E12" s="46" t="s">
        <v>3</v>
      </c>
      <c r="F12" s="47" t="s">
        <v>4</v>
      </c>
    </row>
    <row r="13" spans="1:25" ht="15" customHeight="1" x14ac:dyDescent="0.3">
      <c r="A13" s="193" t="str">
        <f>PROPER(TEXT(B13, "dddd"))</f>
        <v>Fredag</v>
      </c>
      <c r="B13" s="195">
        <f>Fredag34</f>
        <v>45891</v>
      </c>
      <c r="C13" s="40">
        <v>0.375</v>
      </c>
      <c r="D13" s="48">
        <v>0.44791666666666669</v>
      </c>
      <c r="E13" s="49"/>
      <c r="F13" s="50" t="s">
        <v>508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/>
      <c r="B14" s="195"/>
      <c r="C14" s="40">
        <v>0.44791666666666669</v>
      </c>
      <c r="D14" s="48">
        <v>0.51041666666666663</v>
      </c>
      <c r="E14" s="49">
        <v>13</v>
      </c>
      <c r="F14" s="50" t="s">
        <v>507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hidden="1" customHeight="1" x14ac:dyDescent="0.3">
      <c r="A15" s="193" t="s">
        <v>0</v>
      </c>
      <c r="B15" s="195" t="s">
        <v>1</v>
      </c>
      <c r="C15" s="44" t="s">
        <v>824</v>
      </c>
      <c r="D15" s="45" t="s">
        <v>2</v>
      </c>
      <c r="E15" s="46" t="s">
        <v>3</v>
      </c>
      <c r="F15" s="47" t="s">
        <v>4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193" t="str">
        <f>PROPER(TEXT(B16, "dddd"))</f>
        <v>Lördag</v>
      </c>
      <c r="B16" s="195">
        <f t="shared" ref="B16" si="4">Lördag34</f>
        <v>45892</v>
      </c>
      <c r="C16" s="40"/>
      <c r="D16" s="48"/>
      <c r="E16" s="49"/>
      <c r="F16" s="50"/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hidden="1" customHeight="1" x14ac:dyDescent="0.3">
      <c r="A17" s="193" t="s">
        <v>0</v>
      </c>
      <c r="B17" s="195" t="s">
        <v>1</v>
      </c>
      <c r="C17" s="44" t="s">
        <v>824</v>
      </c>
      <c r="D17" s="45" t="s">
        <v>2</v>
      </c>
      <c r="E17" s="46" t="s">
        <v>3</v>
      </c>
      <c r="F17" s="47" t="s">
        <v>4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 t="str">
        <f>PROPER(TEXT(B18, "dddd"))</f>
        <v>Söndag</v>
      </c>
      <c r="B18" s="195">
        <f t="shared" ref="B18" si="5">Söndag34</f>
        <v>45893</v>
      </c>
      <c r="C18" s="40"/>
      <c r="D18" s="48"/>
      <c r="E18" s="49"/>
      <c r="F18" s="50"/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20" spans="1:24" ht="15" customHeight="1" x14ac:dyDescent="0.3">
      <c r="C20" s="40"/>
      <c r="D20" s="41"/>
    </row>
    <row r="21" spans="1:24" ht="15" customHeight="1" x14ac:dyDescent="0.3">
      <c r="C21" s="40"/>
      <c r="D21" s="8"/>
    </row>
    <row r="22" spans="1:24" ht="15" customHeight="1" x14ac:dyDescent="0.3">
      <c r="C22" s="40"/>
      <c r="D22" s="8"/>
    </row>
  </sheetData>
  <sheetProtection algorithmName="SHA-512" hashValue="Ia2pe55UgPL8fct0ruE6ieuhdWhtKqv4gkWcAuhcOF0RikzpXOY67sL5UuDW4zkKK3l5YeaEVsM/mGK+uykYEg==" saltValue="ivrFV6lNMXHQnETGEuAh0A==" spinCount="100000" sheet="1" objects="1" scenarios="1" autoFilter="0" pivotTables="0"/>
  <sortState xmlns:xlrd2="http://schemas.microsoft.com/office/spreadsheetml/2017/richdata2" ref="A13:F14">
    <sortCondition ref="C13:C14"/>
  </sortState>
  <conditionalFormatting sqref="A3 A5:A6 A8 A10:A11 A13 A16 A18">
    <cfRule type="cellIs" dxfId="483" priority="3" operator="equal">
      <formula>"Datum"</formula>
    </cfRule>
    <cfRule type="cellIs" dxfId="482" priority="4" operator="equal">
      <formula>"Dag"</formula>
    </cfRule>
    <cfRule type="expression" dxfId="481" priority="6">
      <formula>OR(IF($A2="Dag",1))</formula>
    </cfRule>
  </conditionalFormatting>
  <conditionalFormatting sqref="A17">
    <cfRule type="expression" dxfId="480" priority="24">
      <formula>OR(IF(#REF!="Dag",1))</formula>
    </cfRule>
  </conditionalFormatting>
  <conditionalFormatting sqref="A1:B2 A4:B4 A7:B7 A9:B9 A12:B12 A15:B15 A17:B17 A19:B1048576 B3 B5:B6 B8 B10:B11 B16 B18 B13:B14">
    <cfRule type="cellIs" dxfId="479" priority="16" operator="equal">
      <formula>"Datum"</formula>
    </cfRule>
    <cfRule type="cellIs" dxfId="478" priority="17" operator="equal">
      <formula>"Dag"</formula>
    </cfRule>
  </conditionalFormatting>
  <conditionalFormatting sqref="B3 B16 B5:B6 B8 B10:B11 B13 B18">
    <cfRule type="expression" dxfId="477" priority="23">
      <formula>OR(IF($B2="Datum",1))</formula>
    </cfRule>
  </conditionalFormatting>
  <conditionalFormatting sqref="C10:D10 C3:E9 C11:E18">
    <cfRule type="expression" dxfId="476" priority="20">
      <formula>OR(IF($E3="Hela hallen",1))</formula>
    </cfRule>
  </conditionalFormatting>
  <conditionalFormatting sqref="L1:T1048576">
    <cfRule type="cellIs" dxfId="475" priority="15" operator="equal">
      <formula>"-"</formula>
    </cfRule>
  </conditionalFormatting>
  <conditionalFormatting sqref="A14">
    <cfRule type="cellIs" dxfId="474" priority="2254" operator="equal">
      <formula>"Datum"</formula>
    </cfRule>
    <cfRule type="cellIs" dxfId="473" priority="2255" operator="equal">
      <formula>"Dag"</formula>
    </cfRule>
    <cfRule type="expression" dxfId="472" priority="2256">
      <formula>OR(IF(#REF!="Dag",1))</formula>
    </cfRule>
  </conditionalFormatting>
  <conditionalFormatting sqref="B14">
    <cfRule type="expression" dxfId="471" priority="2262">
      <formula>OR(IF(#REF!="Datum",1))</formula>
    </cfRule>
  </conditionalFormatting>
  <conditionalFormatting sqref="A15">
    <cfRule type="expression" dxfId="470" priority="2384">
      <formula>OR(IF($A14="Dag",1))</formula>
    </cfRule>
  </conditionalFormatting>
  <conditionalFormatting sqref="B15">
    <cfRule type="expression" dxfId="469" priority="2387">
      <formula>OR(IF($B14="Datum",1))</formula>
    </cfRule>
  </conditionalFormatting>
  <conditionalFormatting sqref="E10">
    <cfRule type="expression" dxfId="468" priority="1">
      <formula>OR(IF($E10="Hela hallen",1))</formula>
    </cfRule>
  </conditionalFormatting>
  <conditionalFormatting sqref="C3:F18">
    <cfRule type="expression" dxfId="465" priority="3166">
      <formula>OR(IF(#REF!=TRUE,1))</formula>
    </cfRule>
  </conditionalFormatting>
  <conditionalFormatting sqref="A4 A7 A9 A12">
    <cfRule type="expression" dxfId="464" priority="3167">
      <formula>OR(IF(#REF!="Dag",1))</formula>
    </cfRule>
  </conditionalFormatting>
  <conditionalFormatting sqref="B4 B7 B9 B12 B17">
    <cfRule type="expression" dxfId="463" priority="3168">
      <formula>OR(IF(#REF!="Datum",1))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2318485-1473-4471-8DF2-B7BC086C3281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A8:B8 A10:B11 A13:B13 A18:B18 A5:B6 A15:B16</xm:sqref>
        </x14:conditionalFormatting>
        <x14:conditionalFormatting xmlns:xm="http://schemas.microsoft.com/office/excel/2006/main">
          <x14:cfRule type="expression" priority="2271" id="{02318485-1473-4471-8DF2-B7BC086C3281}">
            <xm:f>AND(IF(ISERROR(MATCH($B14,Kalenderår!$A$3:$A$17,0)),FALSE,TRUE),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A14:B14</xm:sqref>
        </x14:conditionalFormatting>
        <x14:conditionalFormatting xmlns:xm="http://schemas.microsoft.com/office/excel/2006/main">
          <x14:cfRule type="expression" priority="3175" id="{E91CB33D-BD88-4F40-9F00-F1998D019732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A7:B7 A9:B9 A12:B12 A17:B17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27FC54E-A678-4112-9F93-512F51B8E730}">
          <x14:formula1>
            <xm:f>Listor!$A$2:$A$150</xm:f>
          </x14:formula1>
          <xm:sqref>E3 E5:E6 E8 E13:E14 E16 E18 E10:E11</xm:sqref>
        </x14:dataValidation>
        <x14:dataValidation type="list" allowBlank="1" showInputMessage="1" showErrorMessage="1" xr:uid="{AA89E518-B254-4B00-B4EB-DC89A9742126}">
          <x14:formula1>
            <xm:f>Kontaktuppgifter!$A$2:$A$300</xm:f>
          </x14:formula1>
          <xm:sqref>F3 F5:F6 F8 F10:F11 F16 F18 F13:F14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9990-2AD0-45BE-84D9-91EFF0B0DE11}">
  <sheetPr codeName="Blad36">
    <pageSetUpPr fitToPage="1"/>
  </sheetPr>
  <dimension ref="A1:Y21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Måndag35</f>
        <v>45894</v>
      </c>
      <c r="W1" s="33">
        <f>Söndag35</f>
        <v>45900</v>
      </c>
      <c r="X1" s="34">
        <f>WEEKNUM(Söndag35, 2)</f>
        <v>35</v>
      </c>
      <c r="Y1" s="35" t="str">
        <f>"V. "&amp;X1&amp;", "&amp;TEXT(V1,"D MMM")&amp;"-"&amp;TEXT(W1,"D MMM")</f>
        <v>V. 35, 25 aug-31 aug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>PROPER(TEXT(B3, "dddd"))</f>
        <v>Måndag</v>
      </c>
      <c r="B3" s="194">
        <f t="shared" ref="B3" si="0">Måndag35</f>
        <v>45894</v>
      </c>
      <c r="C3" s="40"/>
      <c r="D3" s="41"/>
      <c r="E3" s="42"/>
      <c r="F3" s="43"/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>PROPER(TEXT(B5, "dddd"))</f>
        <v>Tisdag</v>
      </c>
      <c r="B5" s="195">
        <f>Tisdag35</f>
        <v>45895</v>
      </c>
      <c r="C5" s="40">
        <v>0.375</v>
      </c>
      <c r="D5" s="48">
        <v>0.4375</v>
      </c>
      <c r="E5" s="49">
        <v>33</v>
      </c>
      <c r="F5" s="50" t="s">
        <v>507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193" t="s">
        <v>0</v>
      </c>
      <c r="B6" s="195" t="s">
        <v>1</v>
      </c>
      <c r="C6" s="44" t="s">
        <v>824</v>
      </c>
      <c r="D6" s="45" t="s">
        <v>2</v>
      </c>
      <c r="E6" s="46" t="s">
        <v>3</v>
      </c>
      <c r="F6" s="47" t="s">
        <v>4</v>
      </c>
    </row>
    <row r="7" spans="1:25" ht="15" customHeight="1" x14ac:dyDescent="0.3">
      <c r="A7" s="193" t="str">
        <f>PROPER(TEXT(B7, "dddd"))</f>
        <v>Onsdag</v>
      </c>
      <c r="B7" s="195">
        <f t="shared" ref="B7" si="1">Onsdag35</f>
        <v>45896</v>
      </c>
      <c r="C7" s="40"/>
      <c r="D7" s="48"/>
      <c r="E7" s="49"/>
      <c r="F7" s="50"/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193" t="s">
        <v>0</v>
      </c>
      <c r="B8" s="195" t="s">
        <v>1</v>
      </c>
      <c r="C8" s="44" t="s">
        <v>824</v>
      </c>
      <c r="D8" s="45" t="s">
        <v>2</v>
      </c>
      <c r="E8" s="46" t="s">
        <v>3</v>
      </c>
      <c r="F8" s="47" t="s">
        <v>4</v>
      </c>
    </row>
    <row r="9" spans="1:25" ht="15" customHeight="1" x14ac:dyDescent="0.3">
      <c r="A9" s="193" t="str">
        <f t="shared" ref="A9" si="2">PROPER(TEXT(B9, "dddd"))</f>
        <v>Torsdag</v>
      </c>
      <c r="B9" s="195">
        <f t="shared" ref="B9" si="3">Torsdag35</f>
        <v>45897</v>
      </c>
      <c r="C9" s="40">
        <v>0.375</v>
      </c>
      <c r="D9" s="48">
        <v>0.4375</v>
      </c>
      <c r="E9" s="49" t="s">
        <v>72</v>
      </c>
      <c r="F9" s="50" t="s">
        <v>507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s="10" customFormat="1" ht="20.100000000000001" hidden="1" customHeight="1" x14ac:dyDescent="0.3">
      <c r="A10" s="193" t="s">
        <v>0</v>
      </c>
      <c r="B10" s="195" t="s">
        <v>1</v>
      </c>
      <c r="C10" s="44" t="s">
        <v>824</v>
      </c>
      <c r="D10" s="45" t="s">
        <v>2</v>
      </c>
      <c r="E10" s="46" t="s">
        <v>3</v>
      </c>
      <c r="F10" s="47" t="s">
        <v>4</v>
      </c>
    </row>
    <row r="11" spans="1:25" ht="15" customHeight="1" x14ac:dyDescent="0.3">
      <c r="A11" s="193" t="str">
        <f>PROPER(TEXT(B11, "dddd"))</f>
        <v>Fredag</v>
      </c>
      <c r="B11" s="195">
        <f>Fredag35</f>
        <v>45898</v>
      </c>
      <c r="C11" s="40">
        <v>0.375</v>
      </c>
      <c r="D11" s="48">
        <v>0.44791666666666669</v>
      </c>
      <c r="E11" s="49"/>
      <c r="F11" s="50" t="s">
        <v>508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0.44791666666666669</v>
      </c>
      <c r="D12" s="48">
        <v>0.51041666666666663</v>
      </c>
      <c r="E12" s="49">
        <v>13</v>
      </c>
      <c r="F12" s="50" t="s">
        <v>507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hidden="1" customHeight="1" x14ac:dyDescent="0.3">
      <c r="A13" s="193" t="s">
        <v>0</v>
      </c>
      <c r="B13" s="195" t="s">
        <v>1</v>
      </c>
      <c r="C13" s="44" t="s">
        <v>824</v>
      </c>
      <c r="D13" s="45" t="s">
        <v>2</v>
      </c>
      <c r="E13" s="46" t="s">
        <v>3</v>
      </c>
      <c r="F13" s="47" t="s">
        <v>4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 t="str">
        <f>PROPER(TEXT(B14, "dddd"))</f>
        <v>Lördag</v>
      </c>
      <c r="B14" s="195">
        <f>Lördag35</f>
        <v>45899</v>
      </c>
      <c r="C14" s="40">
        <v>0.53125</v>
      </c>
      <c r="D14" s="48">
        <v>0.61458333333333337</v>
      </c>
      <c r="E14" s="49">
        <v>10</v>
      </c>
      <c r="F14" s="50" t="s">
        <v>1006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s="10" customFormat="1" ht="15" customHeight="1" x14ac:dyDescent="0.3">
      <c r="A15" s="193"/>
      <c r="B15" s="195"/>
      <c r="C15" s="40">
        <v>0.625</v>
      </c>
      <c r="D15" s="48">
        <v>0.66666666666666663</v>
      </c>
      <c r="E15" s="49"/>
      <c r="F15" s="50" t="s">
        <v>561</v>
      </c>
    </row>
    <row r="16" spans="1:25" ht="15" hidden="1" customHeight="1" x14ac:dyDescent="0.3">
      <c r="A16" s="193" t="s">
        <v>0</v>
      </c>
      <c r="B16" s="195" t="s">
        <v>1</v>
      </c>
      <c r="C16" s="44" t="s">
        <v>824</v>
      </c>
      <c r="D16" s="45" t="s">
        <v>2</v>
      </c>
      <c r="E16" s="46" t="s">
        <v>3</v>
      </c>
      <c r="F16" s="47" t="s">
        <v>4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 t="str">
        <f>PROPER(TEXT(B17, "dddd"))</f>
        <v>Söndag</v>
      </c>
      <c r="B17" s="195">
        <f t="shared" ref="B17" si="4">Söndag35</f>
        <v>45900</v>
      </c>
      <c r="C17" s="40"/>
      <c r="D17" s="48"/>
      <c r="E17" s="49"/>
      <c r="F17" s="50"/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9" spans="1:24" ht="15" customHeight="1" x14ac:dyDescent="0.3">
      <c r="C19" s="40"/>
      <c r="D19" s="41"/>
    </row>
    <row r="20" spans="1:24" ht="15" customHeight="1" x14ac:dyDescent="0.3">
      <c r="C20" s="40"/>
      <c r="D20" s="8"/>
    </row>
    <row r="21" spans="1:24" ht="15" customHeight="1" x14ac:dyDescent="0.3">
      <c r="C21" s="40"/>
      <c r="D21" s="8"/>
    </row>
  </sheetData>
  <sheetProtection algorithmName="SHA-512" hashValue="xoL/2qwY94yljSsIYfSRRkNDotvnGznT1/Gs8hb84t0m99HUFmIGBcLG2c/D6dG9u5vRSFspBz+r2v1amTi/6A==" saltValue="8bEecUbLRXK9qmipebBbtw==" spinCount="100000" sheet="1" objects="1" scenarios="1" autoFilter="0" pivotTables="0"/>
  <sortState xmlns:xlrd2="http://schemas.microsoft.com/office/spreadsheetml/2017/richdata2" ref="A11:F12">
    <sortCondition ref="C11:C12"/>
  </sortState>
  <conditionalFormatting sqref="A3 A5 A7 A9 A11 A14 A17">
    <cfRule type="cellIs" dxfId="461" priority="5" operator="equal">
      <formula>"Datum"</formula>
    </cfRule>
    <cfRule type="cellIs" dxfId="460" priority="6" operator="equal">
      <formula>"Dag"</formula>
    </cfRule>
    <cfRule type="expression" dxfId="459" priority="8">
      <formula>OR(IF($A2="Dag",1))</formula>
    </cfRule>
  </conditionalFormatting>
  <conditionalFormatting sqref="A10">
    <cfRule type="expression" dxfId="458" priority="26">
      <formula>OR(IF(#REF!="Dag",1))</formula>
    </cfRule>
  </conditionalFormatting>
  <conditionalFormatting sqref="A1:B2 A4:B4 A6:B6 A8:B8 A10:B10 A13:B13 A16:B16 A18:B1048576 B3 B7 B17 B11:B12 B14:B15 B5 B9">
    <cfRule type="cellIs" dxfId="457" priority="18" operator="equal">
      <formula>"Datum"</formula>
    </cfRule>
    <cfRule type="cellIs" dxfId="456" priority="19" operator="equal">
      <formula>"Dag"</formula>
    </cfRule>
  </conditionalFormatting>
  <conditionalFormatting sqref="B3 B17 B5 B7 B9 B11 B13:B14">
    <cfRule type="expression" dxfId="455" priority="25">
      <formula>OR(IF($B2="Datum",1))</formula>
    </cfRule>
  </conditionalFormatting>
  <conditionalFormatting sqref="C9:D9 C3:E8 C10:E10 C12:E17">
    <cfRule type="expression" dxfId="454" priority="22">
      <formula>OR(IF($E3="Hela hallen",1))</formula>
    </cfRule>
  </conditionalFormatting>
  <conditionalFormatting sqref="L1:T1048576">
    <cfRule type="cellIs" dxfId="453" priority="17" operator="equal">
      <formula>"-"</formula>
    </cfRule>
  </conditionalFormatting>
  <conditionalFormatting sqref="A12 A15">
    <cfRule type="cellIs" dxfId="452" priority="2277" operator="equal">
      <formula>"Datum"</formula>
    </cfRule>
    <cfRule type="cellIs" dxfId="451" priority="2278" operator="equal">
      <formula>"Dag"</formula>
    </cfRule>
    <cfRule type="expression" dxfId="450" priority="2279">
      <formula>OR(IF(#REF!="Dag",1))</formula>
    </cfRule>
  </conditionalFormatting>
  <conditionalFormatting sqref="B12 B15">
    <cfRule type="expression" dxfId="449" priority="2285">
      <formula>OR(IF(#REF!="Datum",1))</formula>
    </cfRule>
  </conditionalFormatting>
  <conditionalFormatting sqref="C11:E11">
    <cfRule type="expression" dxfId="448" priority="3">
      <formula>OR(IF($E11="Hela hallen",1))</formula>
    </cfRule>
  </conditionalFormatting>
  <conditionalFormatting sqref="A16">
    <cfRule type="expression" dxfId="447" priority="2400">
      <formula>OR(IF($A15="Dag",1))</formula>
    </cfRule>
  </conditionalFormatting>
  <conditionalFormatting sqref="B16">
    <cfRule type="expression" dxfId="446" priority="2403">
      <formula>OR(IF($B15="Datum",1))</formula>
    </cfRule>
  </conditionalFormatting>
  <conditionalFormatting sqref="E9">
    <cfRule type="expression" dxfId="445" priority="1">
      <formula>OR(IF($E9="Hela hallen",1))</formula>
    </cfRule>
  </conditionalFormatting>
  <conditionalFormatting sqref="C3:F17">
    <cfRule type="expression" dxfId="442" priority="3177">
      <formula>OR(IF(#REF!=TRUE,1))</formula>
    </cfRule>
  </conditionalFormatting>
  <conditionalFormatting sqref="A4 A6 A8">
    <cfRule type="expression" dxfId="441" priority="3178">
      <formula>OR(IF(#REF!="Dag",1))</formula>
    </cfRule>
  </conditionalFormatting>
  <conditionalFormatting sqref="B4 B6 B8 B10">
    <cfRule type="expression" dxfId="440" priority="3179">
      <formula>OR(IF(#REF!="Datum",1))</formula>
    </cfRule>
  </conditionalFormatting>
  <conditionalFormatting sqref="A13">
    <cfRule type="expression" dxfId="438" priority="3192">
      <formula>OR(IF($A12="Dag",1))</formula>
    </cfRule>
  </conditionalFormatting>
  <printOptions horizontalCentered="1" verticalCentered="1"/>
  <pageMargins left="0.25" right="0.25" top="0.75" bottom="0.75" header="0.3" footer="0.3"/>
  <pageSetup paperSize="9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8981B0A-1A47-4F73-9519-76BCE680F4E5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A7:B7 A11:B11 A5:B5 A9:B9 A13:B14 A16:B17</xm:sqref>
        </x14:conditionalFormatting>
        <x14:conditionalFormatting xmlns:xm="http://schemas.microsoft.com/office/excel/2006/main">
          <x14:cfRule type="expression" priority="2294" id="{88981B0A-1A47-4F73-9519-76BCE680F4E5}">
            <xm:f>AND(IF(ISERROR(MATCH($B12,Kalenderår!$A$3:$A$17,0)),FALSE,TRUE), IF(#REF!="Datum",TRUE,FALSE), IF(#REF!="Dag",TRUE,FALSE))</xm:f>
            <x14:dxf>
              <font>
                <color rgb="FFC00000"/>
              </font>
            </x14:dxf>
          </x14:cfRule>
          <xm:sqref>A12:B12 A15:B15</xm:sqref>
        </x14:conditionalFormatting>
        <x14:conditionalFormatting xmlns:xm="http://schemas.microsoft.com/office/excel/2006/main">
          <x14:cfRule type="expression" priority="3186" id="{4259513A-0823-4727-997D-021005876AA3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A6:B6 A8:B8 A10:B10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A312BF-A024-4A1E-9438-4A388A2E0847}">
          <x14:formula1>
            <xm:f>Kontaktuppgifter!$A$2:$A$300</xm:f>
          </x14:formula1>
          <xm:sqref>F3 F7 F17 F11:F12 F14:F15 F5 F9</xm:sqref>
        </x14:dataValidation>
        <x14:dataValidation type="list" allowBlank="1" showInputMessage="1" showErrorMessage="1" xr:uid="{45C4E702-A330-4A80-AF56-67CDC2C35C2B}">
          <x14:formula1>
            <xm:f>Listor!$A$2:$A$150</xm:f>
          </x14:formula1>
          <xm:sqref>E3 E7 E11:E12 E17 E14:E15 E5 E9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4AF8-6588-4904-8B47-E08D0E1ADC1A}">
  <sheetPr codeName="Blad37"/>
  <dimension ref="A1:Y27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Måndag36</f>
        <v>45901</v>
      </c>
      <c r="W1" s="33">
        <f>Söndag36</f>
        <v>45907</v>
      </c>
      <c r="X1" s="34">
        <f>WEEKNUM(Söndag36, 2)</f>
        <v>36</v>
      </c>
      <c r="Y1" s="35" t="str">
        <f>"V. "&amp;X1&amp;", "&amp;TEXT(V1,"D MMM")&amp;"-"&amp;TEXT(W1,"D MMM")</f>
        <v>V. 36, 1 sep-7 sep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Måndag36</f>
        <v>45901</v>
      </c>
      <c r="C3" s="40">
        <v>0.70833333333333337</v>
      </c>
      <c r="D3" s="41">
        <v>0.83333333333333337</v>
      </c>
      <c r="E3" s="42"/>
      <c r="F3" s="43" t="s">
        <v>873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>PROPER(TEXT(B5, "dddd"))</f>
        <v>Tisdag</v>
      </c>
      <c r="B5" s="195">
        <f>Tisdag36</f>
        <v>45902</v>
      </c>
      <c r="C5" s="40">
        <v>0.375</v>
      </c>
      <c r="D5" s="48">
        <v>0.4375</v>
      </c>
      <c r="E5" s="49">
        <v>33</v>
      </c>
      <c r="F5" s="50" t="s">
        <v>507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5"/>
      <c r="C6" s="40">
        <v>0.375</v>
      </c>
      <c r="D6" s="48">
        <v>0.4375</v>
      </c>
      <c r="E6" s="49" t="s">
        <v>83</v>
      </c>
      <c r="F6" s="50" t="s">
        <v>1010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/>
      <c r="B7" s="195"/>
      <c r="C7" s="40">
        <v>0.70833333333333337</v>
      </c>
      <c r="D7" s="48">
        <v>0.83333333333333337</v>
      </c>
      <c r="E7" s="49"/>
      <c r="F7" s="50" t="s">
        <v>873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193"/>
      <c r="B8" s="195"/>
      <c r="C8" s="40">
        <v>0.75</v>
      </c>
      <c r="D8" s="48">
        <v>0.83333333333333337</v>
      </c>
      <c r="E8" s="49" t="s">
        <v>72</v>
      </c>
      <c r="F8" s="50" t="s">
        <v>928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hidden="1" customHeight="1" x14ac:dyDescent="0.3">
      <c r="A9" s="193" t="s">
        <v>0</v>
      </c>
      <c r="B9" s="195" t="s">
        <v>1</v>
      </c>
      <c r="C9" s="44" t="s">
        <v>824</v>
      </c>
      <c r="D9" s="45" t="s">
        <v>2</v>
      </c>
      <c r="E9" s="46" t="s">
        <v>3</v>
      </c>
      <c r="F9" s="47" t="s">
        <v>4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 t="str">
        <f>PROPER(TEXT(B10, "dddd"))</f>
        <v>Onsdag</v>
      </c>
      <c r="B10" s="195">
        <f>Onsdag36</f>
        <v>45903</v>
      </c>
      <c r="C10" s="40">
        <v>0.375</v>
      </c>
      <c r="D10" s="48">
        <v>0.54166666666666663</v>
      </c>
      <c r="E10" s="49" t="s">
        <v>117</v>
      </c>
      <c r="F10" s="50" t="s">
        <v>597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0.41666666666666669</v>
      </c>
      <c r="D11" s="48">
        <v>0.5</v>
      </c>
      <c r="E11" s="49"/>
      <c r="F11" s="50" t="s">
        <v>643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0.60416666666666663</v>
      </c>
      <c r="D12" s="48">
        <v>0.6875</v>
      </c>
      <c r="E12" s="49" t="s">
        <v>83</v>
      </c>
      <c r="F12" s="50" t="s">
        <v>1010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hidden="1" customHeight="1" x14ac:dyDescent="0.3">
      <c r="A13" s="193" t="s">
        <v>0</v>
      </c>
      <c r="B13" s="195" t="s">
        <v>1</v>
      </c>
      <c r="C13" s="44" t="s">
        <v>824</v>
      </c>
      <c r="D13" s="45" t="s">
        <v>2</v>
      </c>
      <c r="E13" s="46" t="s">
        <v>3</v>
      </c>
      <c r="F13" s="47" t="s">
        <v>4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 t="str">
        <f>PROPER(TEXT(B14, "dddd"))</f>
        <v>Torsdag</v>
      </c>
      <c r="B14" s="195">
        <f>Torsdag36</f>
        <v>45904</v>
      </c>
      <c r="C14" s="40">
        <v>0.375</v>
      </c>
      <c r="D14" s="48">
        <v>0.4375</v>
      </c>
      <c r="E14" s="49" t="s">
        <v>72</v>
      </c>
      <c r="F14" s="50" t="s">
        <v>507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s="10" customFormat="1" ht="15" customHeight="1" x14ac:dyDescent="0.3">
      <c r="A15" s="193"/>
      <c r="B15" s="195"/>
      <c r="C15" s="40">
        <v>0.41666666666666669</v>
      </c>
      <c r="D15" s="48">
        <v>0.47916666666666669</v>
      </c>
      <c r="E15" s="49" t="s">
        <v>83</v>
      </c>
      <c r="F15" s="50" t="s">
        <v>1010</v>
      </c>
    </row>
    <row r="16" spans="1:25" ht="15" customHeight="1" x14ac:dyDescent="0.3">
      <c r="A16" s="193"/>
      <c r="B16" s="195"/>
      <c r="C16" s="40">
        <v>0.60416666666666663</v>
      </c>
      <c r="D16" s="48">
        <v>0.66666666666666663</v>
      </c>
      <c r="E16" s="49" t="s">
        <v>83</v>
      </c>
      <c r="F16" s="50" t="s">
        <v>1010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hidden="1" customHeight="1" x14ac:dyDescent="0.3">
      <c r="A17" s="193" t="s">
        <v>0</v>
      </c>
      <c r="B17" s="195" t="s">
        <v>1</v>
      </c>
      <c r="C17" s="44" t="s">
        <v>824</v>
      </c>
      <c r="D17" s="45" t="s">
        <v>2</v>
      </c>
      <c r="E17" s="46" t="s">
        <v>3</v>
      </c>
      <c r="F17" s="47" t="s">
        <v>4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 t="str">
        <f>PROPER(TEXT(B18, "dddd"))</f>
        <v>Fredag</v>
      </c>
      <c r="B18" s="195">
        <f>Fredag36</f>
        <v>45905</v>
      </c>
      <c r="C18" s="40">
        <v>0.375</v>
      </c>
      <c r="D18" s="48">
        <v>0.44791666666666669</v>
      </c>
      <c r="E18" s="49"/>
      <c r="F18" s="50" t="s">
        <v>508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/>
      <c r="B19" s="195"/>
      <c r="C19" s="40">
        <v>0.44791666666666669</v>
      </c>
      <c r="D19" s="48">
        <v>0.51041666666666663</v>
      </c>
      <c r="E19" s="49">
        <v>13</v>
      </c>
      <c r="F19" s="50" t="s">
        <v>507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hidden="1" customHeight="1" x14ac:dyDescent="0.3">
      <c r="A20" s="193" t="s">
        <v>0</v>
      </c>
      <c r="B20" s="195" t="s">
        <v>1</v>
      </c>
      <c r="C20" s="44" t="s">
        <v>824</v>
      </c>
      <c r="D20" s="45" t="s">
        <v>2</v>
      </c>
      <c r="E20" s="46" t="s">
        <v>3</v>
      </c>
      <c r="F20" s="47" t="s">
        <v>4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193" t="str">
        <f>PROPER(TEXT(B21, "dddd"))</f>
        <v>Lördag</v>
      </c>
      <c r="B21" s="195">
        <f>Lördag36</f>
        <v>45906</v>
      </c>
      <c r="C21" s="40">
        <v>0.625</v>
      </c>
      <c r="D21" s="48">
        <v>0.66666666666666663</v>
      </c>
      <c r="E21" s="49"/>
      <c r="F21" s="50" t="s">
        <v>561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hidden="1" customHeight="1" x14ac:dyDescent="0.3">
      <c r="A22" s="193" t="s">
        <v>0</v>
      </c>
      <c r="B22" s="195" t="s">
        <v>1</v>
      </c>
      <c r="C22" s="44" t="s">
        <v>824</v>
      </c>
      <c r="D22" s="45" t="s">
        <v>2</v>
      </c>
      <c r="E22" s="46" t="s">
        <v>3</v>
      </c>
      <c r="F22" s="47" t="s">
        <v>4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193" t="str">
        <f t="shared" ref="A23" si="2">PROPER(TEXT(B23, "dddd"))</f>
        <v>Söndag</v>
      </c>
      <c r="B23" s="195">
        <f t="shared" ref="B23" si="3">Söndag36</f>
        <v>45907</v>
      </c>
      <c r="C23" s="40">
        <v>0.375</v>
      </c>
      <c r="D23" s="48">
        <v>0.79166666666666663</v>
      </c>
      <c r="E23" s="49"/>
      <c r="F23" s="43" t="s">
        <v>873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5" spans="1:24" ht="15" customHeight="1" x14ac:dyDescent="0.3">
      <c r="C25" s="40"/>
      <c r="D25" s="41"/>
    </row>
    <row r="26" spans="1:24" ht="15" customHeight="1" x14ac:dyDescent="0.3">
      <c r="C26" s="40"/>
      <c r="D26" s="8"/>
    </row>
    <row r="27" spans="1:24" ht="15" customHeight="1" x14ac:dyDescent="0.3">
      <c r="C27" s="40"/>
      <c r="D27" s="8"/>
    </row>
  </sheetData>
  <sheetProtection algorithmName="SHA-512" hashValue="ZDi8XYAihe5c98+7msm5F09DqntppWTivVcOdbbeXFfpyxZxM11HWJQTNzv9BYdrHLSkmnx3ud9mZg7pdO5w4A==" saltValue="tABwnP2wV09JVSTsCIjC4w==" spinCount="100000" sheet="1" objects="1" scenarios="1" autoFilter="0" pivotTables="0"/>
  <sortState xmlns:xlrd2="http://schemas.microsoft.com/office/spreadsheetml/2017/richdata2" ref="A18:F19">
    <sortCondition ref="C18:C19"/>
  </sortState>
  <conditionalFormatting sqref="A3 A5:A7 A10:A12 A14:A15 A18 A21 A23">
    <cfRule type="cellIs" dxfId="437" priority="7" operator="equal">
      <formula>"Datum"</formula>
    </cfRule>
    <cfRule type="cellIs" dxfId="436" priority="8" operator="equal">
      <formula>"Dag"</formula>
    </cfRule>
    <cfRule type="expression" dxfId="435" priority="10">
      <formula>OR(IF($A2="Dag",1))</formula>
    </cfRule>
  </conditionalFormatting>
  <conditionalFormatting sqref="A9">
    <cfRule type="expression" dxfId="434" priority="28">
      <formula>OR(IF($A8="Dag",1))</formula>
    </cfRule>
  </conditionalFormatting>
  <conditionalFormatting sqref="A1:B2 A4:B4 A9:B9 A13:B13 A17:B17 A20:B20 A22:B22 A24:B1048576 B3 B21 B23 B18:B19 B10:B12 B14:B16 B5:B8">
    <cfRule type="cellIs" dxfId="433" priority="20" operator="equal">
      <formula>"Datum"</formula>
    </cfRule>
    <cfRule type="cellIs" dxfId="432" priority="21" operator="equal">
      <formula>"Dag"</formula>
    </cfRule>
  </conditionalFormatting>
  <conditionalFormatting sqref="B3 B21 B18 B5:B7 B9:B12 B14:B15 B23">
    <cfRule type="expression" dxfId="431" priority="27">
      <formula>OR(IF($B2="Datum",1))</formula>
    </cfRule>
  </conditionalFormatting>
  <conditionalFormatting sqref="C14:D14 C3:E5 C7:E13 C15:E17 C19:E23">
    <cfRule type="expression" dxfId="430" priority="24">
      <formula>OR(IF($E3="Hela hallen",1))</formula>
    </cfRule>
  </conditionalFormatting>
  <conditionalFormatting sqref="L1:T1048576">
    <cfRule type="cellIs" dxfId="429" priority="19" operator="equal">
      <formula>"-"</formula>
    </cfRule>
  </conditionalFormatting>
  <conditionalFormatting sqref="A19 A16 A8">
    <cfRule type="cellIs" dxfId="428" priority="2300" operator="equal">
      <formula>"Datum"</formula>
    </cfRule>
    <cfRule type="cellIs" dxfId="427" priority="2301" operator="equal">
      <formula>"Dag"</formula>
    </cfRule>
    <cfRule type="expression" dxfId="426" priority="2302">
      <formula>OR(IF(#REF!="Dag",1))</formula>
    </cfRule>
  </conditionalFormatting>
  <conditionalFormatting sqref="B19 B16 B8">
    <cfRule type="expression" dxfId="425" priority="2308">
      <formula>OR(IF(#REF!="Datum",1))</formula>
    </cfRule>
  </conditionalFormatting>
  <conditionalFormatting sqref="C6:E6">
    <cfRule type="expression" dxfId="424" priority="5">
      <formula>OR(IF($E6="Hela hallen",1))</formula>
    </cfRule>
  </conditionalFormatting>
  <conditionalFormatting sqref="C18:E18">
    <cfRule type="expression" dxfId="423" priority="3">
      <formula>OR(IF($E18="Hela hallen",1))</formula>
    </cfRule>
  </conditionalFormatting>
  <conditionalFormatting sqref="A20">
    <cfRule type="expression" dxfId="422" priority="2416">
      <formula>OR(IF($A19="Dag",1))</formula>
    </cfRule>
  </conditionalFormatting>
  <conditionalFormatting sqref="B20">
    <cfRule type="expression" dxfId="421" priority="2419">
      <formula>OR(IF($B19="Datum",1))</formula>
    </cfRule>
  </conditionalFormatting>
  <conditionalFormatting sqref="E14">
    <cfRule type="expression" dxfId="420" priority="1">
      <formula>OR(IF($E14="Hela hallen",1))</formula>
    </cfRule>
  </conditionalFormatting>
  <conditionalFormatting sqref="A17">
    <cfRule type="expression" dxfId="419" priority="2479">
      <formula>OR(IF($A16="Dag",1))</formula>
    </cfRule>
  </conditionalFormatting>
  <conditionalFormatting sqref="B17">
    <cfRule type="expression" dxfId="418" priority="2480">
      <formula>OR(IF($B16="Datum",1))</formula>
    </cfRule>
  </conditionalFormatting>
  <conditionalFormatting sqref="C3:F23">
    <cfRule type="expression" dxfId="415" priority="3194">
      <formula>OR(IF(#REF!=TRUE,1))</formula>
    </cfRule>
  </conditionalFormatting>
  <conditionalFormatting sqref="A4 A13 A22">
    <cfRule type="expression" dxfId="414" priority="3195">
      <formula>OR(IF(#REF!="Dag",1))</formula>
    </cfRule>
  </conditionalFormatting>
  <conditionalFormatting sqref="B4 B13 B22">
    <cfRule type="expression" dxfId="413" priority="3196">
      <formula>OR(IF(#REF!="Datum",1))</formula>
    </cfRule>
  </conditionalFormatting>
  <pageMargins left="0.7" right="0.7" top="0.75" bottom="0.75" header="0.3" footer="0.3"/>
  <pageSetup paperSize="8" orientation="landscape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B4EF3ABE-CBC9-4D66-BB50-B7063D9B60B8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A5:B7 A23:B23 A9:B12 A14:B15 A17:B18 A20:B21</xm:sqref>
        </x14:conditionalFormatting>
        <x14:conditionalFormatting xmlns:xm="http://schemas.microsoft.com/office/excel/2006/main">
          <x14:cfRule type="expression" priority="2317" id="{B4EF3ABE-CBC9-4D66-BB50-B7063D9B60B8}">
            <xm:f>AND(IF(ISERROR(MATCH($B8,Kalenderår!$A$3:$A$17,0)),FALSE,TRUE), IF(#REF!="Datum",TRUE,FALSE), IF(#REF!="Dag",TRUE,FALSE))</xm:f>
            <x14:dxf>
              <font>
                <color rgb="FFC00000"/>
              </font>
            </x14:dxf>
          </x14:cfRule>
          <xm:sqref>A8:B8 A16:B16 A19:B19</xm:sqref>
        </x14:conditionalFormatting>
        <x14:conditionalFormatting xmlns:xm="http://schemas.microsoft.com/office/excel/2006/main">
          <x14:cfRule type="expression" priority="3203" id="{A9A6C7B5-F0E7-4539-9574-CDF086275635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A13:B13 A22:B22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979102-3E0B-4D5C-95CE-E42FA77532F8}">
          <x14:formula1>
            <xm:f>Listor!$A$2:$A$150</xm:f>
          </x14:formula1>
          <xm:sqref>E3 E23 E18:E19 E21 E10:E12 E14:E16 E5:E8</xm:sqref>
        </x14:dataValidation>
        <x14:dataValidation type="list" allowBlank="1" showInputMessage="1" showErrorMessage="1" xr:uid="{573B29FD-5469-43A7-999F-8638A292E22A}">
          <x14:formula1>
            <xm:f>Kontaktuppgifter!$A$2:$A$300</xm:f>
          </x14:formula1>
          <xm:sqref>F3 F5:F8 F21 F18:F19 F10:F12 F14:F16 F23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68ED6-E83A-4CCE-9FEE-37B22687EFC2}">
  <sheetPr codeName="Blad38"/>
  <dimension ref="A1:Y31"/>
  <sheetViews>
    <sheetView showGridLines="0" tabSelected="1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4" style="30" customWidth="1"/>
    <col min="3" max="3" width="7.6640625" style="31" customWidth="1"/>
    <col min="4" max="4" width="11.109375" customWidth="1"/>
    <col min="5" max="5" width="11.6640625" style="1" customWidth="1"/>
    <col min="6" max="6" width="45.44140625" style="8" customWidth="1"/>
    <col min="7" max="7" width="41.8867187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Måndag37</f>
        <v>45908</v>
      </c>
      <c r="W1" s="33">
        <f>Söndag37</f>
        <v>45914</v>
      </c>
      <c r="X1" s="34">
        <f>WEEKNUM(Söndag37, 2)</f>
        <v>37</v>
      </c>
      <c r="Y1" s="35" t="str">
        <f>"V. "&amp;X1&amp;", "&amp;TEXT(V1,"D MMM")&amp;"-"&amp;TEXT(W1,"D MMM")</f>
        <v>V. 37, 8 sep-14 sep</v>
      </c>
    </row>
    <row r="2" spans="1:25" s="39" customFormat="1" ht="12" customHeight="1" x14ac:dyDescent="0.3">
      <c r="A2" s="196" t="s">
        <v>0</v>
      </c>
      <c r="B2" s="197" t="s">
        <v>1</v>
      </c>
      <c r="C2" s="169" t="s">
        <v>824</v>
      </c>
      <c r="D2" s="170" t="s">
        <v>2</v>
      </c>
      <c r="E2" s="171" t="s">
        <v>3</v>
      </c>
      <c r="F2" s="171" t="s">
        <v>4</v>
      </c>
    </row>
    <row r="3" spans="1:25" ht="15" customHeight="1" x14ac:dyDescent="0.3">
      <c r="A3" s="198" t="str">
        <f t="shared" ref="A3" si="0">PROPER(TEXT(B3, "dddd"))</f>
        <v>Måndag</v>
      </c>
      <c r="B3" s="199">
        <f t="shared" ref="B3" si="1">Måndag37</f>
        <v>45908</v>
      </c>
      <c r="C3" s="172"/>
      <c r="D3" s="173"/>
      <c r="E3" s="174"/>
      <c r="F3" s="175"/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12" hidden="1" customHeight="1" x14ac:dyDescent="0.3">
      <c r="A4" s="198" t="s">
        <v>0</v>
      </c>
      <c r="B4" s="200" t="s">
        <v>1</v>
      </c>
      <c r="C4" s="176" t="s">
        <v>824</v>
      </c>
      <c r="D4" s="177" t="s">
        <v>2</v>
      </c>
      <c r="E4" s="178" t="s">
        <v>3</v>
      </c>
      <c r="F4" s="179" t="s">
        <v>4</v>
      </c>
    </row>
    <row r="5" spans="1:25" ht="12" customHeight="1" x14ac:dyDescent="0.3">
      <c r="A5" s="198" t="str">
        <f t="shared" ref="A5" si="2">PROPER(TEXT(B5, "dddd"))</f>
        <v>Tisdag</v>
      </c>
      <c r="B5" s="200">
        <f t="shared" ref="B5" si="3">Tisdag37</f>
        <v>45909</v>
      </c>
      <c r="C5" s="172">
        <v>0.375</v>
      </c>
      <c r="D5" s="180">
        <v>0.4375</v>
      </c>
      <c r="E5" s="181">
        <v>33</v>
      </c>
      <c r="F5" s="182" t="s">
        <v>507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8"/>
      <c r="B6" s="200"/>
      <c r="C6" s="172">
        <v>0.5625</v>
      </c>
      <c r="D6" s="180">
        <v>0.64583333333333337</v>
      </c>
      <c r="E6" s="181"/>
      <c r="F6" s="182" t="s">
        <v>587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s="10" customFormat="1" ht="12" hidden="1" customHeight="1" x14ac:dyDescent="0.3">
      <c r="A7" s="198" t="s">
        <v>0</v>
      </c>
      <c r="B7" s="200" t="s">
        <v>1</v>
      </c>
      <c r="C7" s="176" t="s">
        <v>824</v>
      </c>
      <c r="D7" s="177" t="s">
        <v>2</v>
      </c>
      <c r="E7" s="178" t="s">
        <v>3</v>
      </c>
      <c r="F7" s="179" t="s">
        <v>4</v>
      </c>
    </row>
    <row r="8" spans="1:25" ht="12" customHeight="1" x14ac:dyDescent="0.3">
      <c r="A8" s="198" t="str">
        <f t="shared" ref="A8" si="4">PROPER(TEXT(B8, "dddd"))</f>
        <v>Onsdag</v>
      </c>
      <c r="B8" s="200">
        <f t="shared" ref="B8" si="5">Onsdag37</f>
        <v>45910</v>
      </c>
      <c r="C8" s="172">
        <v>0.375</v>
      </c>
      <c r="D8" s="180">
        <v>0.45833333333333331</v>
      </c>
      <c r="E8" s="181"/>
      <c r="F8" s="182" t="s">
        <v>737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2" customHeight="1" x14ac:dyDescent="0.3">
      <c r="A9" s="198"/>
      <c r="B9" s="200"/>
      <c r="C9" s="172">
        <v>0.39583333333333331</v>
      </c>
      <c r="D9" s="180">
        <v>0.45833333333333331</v>
      </c>
      <c r="E9" s="181" t="s">
        <v>83</v>
      </c>
      <c r="F9" s="182" t="s">
        <v>1010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2" customHeight="1" x14ac:dyDescent="0.3">
      <c r="A10" s="198"/>
      <c r="B10" s="200"/>
      <c r="C10" s="172">
        <v>0.41666666666666669</v>
      </c>
      <c r="D10" s="180">
        <v>0.5</v>
      </c>
      <c r="E10" s="181"/>
      <c r="F10" s="182" t="s">
        <v>643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2" customHeight="1" x14ac:dyDescent="0.3">
      <c r="A11" s="198"/>
      <c r="B11" s="200"/>
      <c r="C11" s="172">
        <v>0.55555555555555558</v>
      </c>
      <c r="D11" s="180">
        <v>0.63888888888888884</v>
      </c>
      <c r="E11" s="181"/>
      <c r="F11" s="182" t="s">
        <v>28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8"/>
      <c r="B12" s="200"/>
      <c r="C12" s="172">
        <v>0.55555555555555558</v>
      </c>
      <c r="D12" s="180">
        <v>0.63888888888888884</v>
      </c>
      <c r="E12" s="181"/>
      <c r="F12" s="182" t="s">
        <v>776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2" hidden="1" customHeight="1" x14ac:dyDescent="0.3">
      <c r="A13" s="198" t="s">
        <v>0</v>
      </c>
      <c r="B13" s="200" t="s">
        <v>1</v>
      </c>
      <c r="C13" s="176" t="s">
        <v>824</v>
      </c>
      <c r="D13" s="177" t="s">
        <v>2</v>
      </c>
      <c r="E13" s="178" t="s">
        <v>3</v>
      </c>
      <c r="F13" s="179" t="s">
        <v>4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2" customHeight="1" x14ac:dyDescent="0.3">
      <c r="A14" s="198" t="str">
        <f t="shared" ref="A14" si="6">PROPER(TEXT(B14, "dddd"))</f>
        <v>Torsdag</v>
      </c>
      <c r="B14" s="200">
        <f t="shared" ref="B14" si="7">Torsdag37</f>
        <v>45911</v>
      </c>
      <c r="C14" s="172">
        <v>0.375</v>
      </c>
      <c r="D14" s="180">
        <v>0.4375</v>
      </c>
      <c r="E14" s="181" t="s">
        <v>72</v>
      </c>
      <c r="F14" s="182" t="s">
        <v>507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2" customHeight="1" x14ac:dyDescent="0.3">
      <c r="A15" s="198"/>
      <c r="B15" s="200"/>
      <c r="C15" s="172">
        <v>0.38541666666666669</v>
      </c>
      <c r="D15" s="180">
        <v>0.58333333333333337</v>
      </c>
      <c r="E15" s="181" t="s">
        <v>117</v>
      </c>
      <c r="F15" s="182" t="s">
        <v>453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2" customHeight="1" x14ac:dyDescent="0.3">
      <c r="A16" s="198"/>
      <c r="B16" s="200"/>
      <c r="C16" s="172">
        <v>0.41666666666666669</v>
      </c>
      <c r="D16" s="180">
        <v>0.5</v>
      </c>
      <c r="E16" s="181"/>
      <c r="F16" s="182" t="s">
        <v>238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8"/>
      <c r="B17" s="200"/>
      <c r="C17" s="172">
        <v>0.5625</v>
      </c>
      <c r="D17" s="180">
        <v>0.64583333333333337</v>
      </c>
      <c r="E17" s="181"/>
      <c r="F17" s="182" t="s">
        <v>218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2" hidden="1" customHeight="1" x14ac:dyDescent="0.3">
      <c r="A18" s="198" t="s">
        <v>0</v>
      </c>
      <c r="B18" s="200" t="s">
        <v>1</v>
      </c>
      <c r="C18" s="176" t="s">
        <v>824</v>
      </c>
      <c r="D18" s="177" t="s">
        <v>2</v>
      </c>
      <c r="E18" s="178" t="s">
        <v>3</v>
      </c>
      <c r="F18" s="179" t="s">
        <v>4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2" customHeight="1" x14ac:dyDescent="0.3">
      <c r="A19" s="198" t="str">
        <f t="shared" ref="A19" si="8">PROPER(TEXT(B19, "dddd"))</f>
        <v>Fredag</v>
      </c>
      <c r="B19" s="200">
        <f t="shared" ref="B19" si="9">Fredag37</f>
        <v>45912</v>
      </c>
      <c r="C19" s="172">
        <v>0.375</v>
      </c>
      <c r="D19" s="180">
        <v>0.44791666666666669</v>
      </c>
      <c r="E19" s="181"/>
      <c r="F19" s="182" t="s">
        <v>508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2" customHeight="1" x14ac:dyDescent="0.3">
      <c r="A20" s="198"/>
      <c r="B20" s="200"/>
      <c r="C20" s="172">
        <v>0.41666666666666669</v>
      </c>
      <c r="D20" s="180">
        <v>0.5</v>
      </c>
      <c r="E20" s="181"/>
      <c r="F20" s="182" t="s">
        <v>629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2" customHeight="1" x14ac:dyDescent="0.3">
      <c r="A21" s="198"/>
      <c r="B21" s="200"/>
      <c r="C21" s="172">
        <v>0.44791666666666669</v>
      </c>
      <c r="D21" s="180">
        <v>0.51041666666666663</v>
      </c>
      <c r="E21" s="181">
        <v>13</v>
      </c>
      <c r="F21" s="182" t="s">
        <v>507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198"/>
      <c r="B22" s="200"/>
      <c r="C22" s="172">
        <v>0.45833333333333331</v>
      </c>
      <c r="D22" s="180">
        <v>0.54166666666666663</v>
      </c>
      <c r="E22" s="181"/>
      <c r="F22" s="182" t="s">
        <v>800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2" hidden="1" customHeight="1" x14ac:dyDescent="0.3">
      <c r="A23" s="198" t="s">
        <v>0</v>
      </c>
      <c r="B23" s="200" t="s">
        <v>1</v>
      </c>
      <c r="C23" s="176" t="s">
        <v>824</v>
      </c>
      <c r="D23" s="177" t="s">
        <v>2</v>
      </c>
      <c r="E23" s="178" t="s">
        <v>3</v>
      </c>
      <c r="F23" s="179" t="s">
        <v>4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2" customHeight="1" x14ac:dyDescent="0.3">
      <c r="A24" s="198" t="str">
        <f t="shared" ref="A24" si="10">PROPER(TEXT(B24, "dddd"))</f>
        <v>Lördag</v>
      </c>
      <c r="B24" s="200">
        <f t="shared" ref="B24" si="11">Lördag37</f>
        <v>45913</v>
      </c>
      <c r="C24" s="172">
        <v>0.625</v>
      </c>
      <c r="D24" s="180">
        <v>0.66666666666666663</v>
      </c>
      <c r="E24" s="181"/>
      <c r="F24" s="182" t="s">
        <v>561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8"/>
      <c r="B25" s="200"/>
      <c r="C25" s="172">
        <v>0.375</v>
      </c>
      <c r="D25" s="173">
        <v>0.625</v>
      </c>
      <c r="E25" s="174"/>
      <c r="F25" s="175" t="s">
        <v>873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2" hidden="1" customHeight="1" x14ac:dyDescent="0.3">
      <c r="A26" s="198" t="s">
        <v>0</v>
      </c>
      <c r="B26" s="200" t="s">
        <v>1</v>
      </c>
      <c r="C26" s="176" t="s">
        <v>824</v>
      </c>
      <c r="D26" s="177" t="s">
        <v>2</v>
      </c>
      <c r="E26" s="178" t="s">
        <v>3</v>
      </c>
      <c r="F26" s="179" t="s">
        <v>4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2" customHeight="1" x14ac:dyDescent="0.3">
      <c r="A27" s="198" t="str">
        <f t="shared" ref="A27" si="12">PROPER(TEXT(B27, "dddd"))</f>
        <v>Söndag</v>
      </c>
      <c r="B27" s="200">
        <f t="shared" ref="B27" si="13">Söndag37</f>
        <v>45914</v>
      </c>
      <c r="C27" s="172"/>
      <c r="D27" s="180"/>
      <c r="E27" s="181"/>
      <c r="F27" s="182"/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9" spans="1:24" ht="15" customHeight="1" x14ac:dyDescent="0.3">
      <c r="C29" s="40"/>
      <c r="D29" s="41"/>
    </row>
    <row r="30" spans="1:24" ht="15" customHeight="1" x14ac:dyDescent="0.3">
      <c r="C30" s="40"/>
      <c r="D30" s="8"/>
    </row>
    <row r="31" spans="1:24" ht="15" customHeight="1" x14ac:dyDescent="0.3">
      <c r="C31" s="40"/>
      <c r="D31" s="8"/>
    </row>
  </sheetData>
  <sheetProtection algorithmName="SHA-512" hashValue="CW5D/fzuNDnXG5vU4cf+1TsDmZNzwGdk0W373VJO3VpWB3kK2bU1rtVxo/lrj9EgDK4Kfosg1S2LeNpq/TeHKg==" saltValue="RbGjMwhKOh/TaFNgI8qLrA==" spinCount="100000" sheet="1" objects="1" scenarios="1" autoFilter="0" pivotTables="0"/>
  <sortState xmlns:xlrd2="http://schemas.microsoft.com/office/spreadsheetml/2017/richdata2" ref="A19:F22">
    <sortCondition ref="C19:C22"/>
  </sortState>
  <conditionalFormatting sqref="A3 A5:A6 A14:A17 A19:A22 A24:A25 A27 A8:A12">
    <cfRule type="cellIs" dxfId="411" priority="11" operator="equal">
      <formula>"Datum"</formula>
    </cfRule>
    <cfRule type="cellIs" dxfId="410" priority="12" operator="equal">
      <formula>"Dag"</formula>
    </cfRule>
    <cfRule type="expression" dxfId="409" priority="14">
      <formula>OR(IF($A2="Dag",1))</formula>
    </cfRule>
  </conditionalFormatting>
  <conditionalFormatting sqref="A26">
    <cfRule type="expression" dxfId="408" priority="32">
      <formula>OR(IF(#REF!="Dag",1))</formula>
    </cfRule>
  </conditionalFormatting>
  <conditionalFormatting sqref="A1:B2 B3 A4:B4 B5:B6 A7:B7 A13:B13 B14:B17 A18:B18 B19:B22 A23:B23 B24:B25 A26:B26 B27 A28:B1048576 B8:B12">
    <cfRule type="cellIs" dxfId="407" priority="24" operator="equal">
      <formula>"Datum"</formula>
    </cfRule>
    <cfRule type="cellIs" dxfId="406" priority="25" operator="equal">
      <formula>"Dag"</formula>
    </cfRule>
  </conditionalFormatting>
  <conditionalFormatting sqref="B3 B5:B6 B8:B12 B14:B17 B19:B22 B24:B25 B27">
    <cfRule type="expression" dxfId="405" priority="31">
      <formula>OR(IF($B2="Datum",1))</formula>
    </cfRule>
  </conditionalFormatting>
  <conditionalFormatting sqref="C14:D14 C3:E5 C7:E13 C15:E18 C20:E24 C26:E27">
    <cfRule type="expression" dxfId="404" priority="28">
      <formula>OR(IF($E3="Hela hallen",1))</formula>
    </cfRule>
  </conditionalFormatting>
  <conditionalFormatting sqref="L1:T1048576">
    <cfRule type="cellIs" dxfId="403" priority="23" operator="equal">
      <formula>"-"</formula>
    </cfRule>
  </conditionalFormatting>
  <conditionalFormatting sqref="A13 A18 A23">
    <cfRule type="expression" dxfId="402" priority="1142">
      <formula>OR(IF(#REF!="Dag",1))</formula>
    </cfRule>
  </conditionalFormatting>
  <conditionalFormatting sqref="B13 B18 B23 B26">
    <cfRule type="expression" dxfId="401" priority="1146">
      <formula>OR(IF(#REF!="Datum",1))</formula>
    </cfRule>
  </conditionalFormatting>
  <conditionalFormatting sqref="C6:E6">
    <cfRule type="expression" dxfId="400" priority="9">
      <formula>OR(IF($E6="Hela hallen",1))</formula>
    </cfRule>
  </conditionalFormatting>
  <conditionalFormatting sqref="C19:E19">
    <cfRule type="expression" dxfId="399" priority="7">
      <formula>OR(IF($E19="Hela hallen",1))</formula>
    </cfRule>
  </conditionalFormatting>
  <conditionalFormatting sqref="E14">
    <cfRule type="expression" dxfId="398" priority="5">
      <formula>OR(IF($E14="Hela hallen",1))</formula>
    </cfRule>
  </conditionalFormatting>
  <conditionalFormatting sqref="C25:E25">
    <cfRule type="expression" dxfId="397" priority="2">
      <formula>OR(IF($E25="Hela hallen",1))</formula>
    </cfRule>
  </conditionalFormatting>
  <conditionalFormatting sqref="C3:F27">
    <cfRule type="expression" dxfId="395" priority="3205">
      <formula>OR(IF(#REF!=TRUE,1))</formula>
    </cfRule>
  </conditionalFormatting>
  <conditionalFormatting sqref="A4 A7">
    <cfRule type="expression" dxfId="394" priority="3206">
      <formula>OR(IF(#REF!="Dag",1))</formula>
    </cfRule>
  </conditionalFormatting>
  <conditionalFormatting sqref="B4 B7">
    <cfRule type="expression" dxfId="393" priority="3208">
      <formula>OR(IF(#REF!="Datum",1))</formula>
    </cfRule>
  </conditionalFormatting>
  <pageMargins left="0.25" right="0.25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65D1053A-FA3D-475F-95AE-ADBC1DD87C32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A5:B6 A8:B12 A14:B17 A19:B22 A24:B25 A27:B27</xm:sqref>
        </x14:conditionalFormatting>
        <x14:conditionalFormatting xmlns:xm="http://schemas.microsoft.com/office/excel/2006/main">
          <x14:cfRule type="expression" priority="3217" id="{37EE21CF-E033-4D7A-A219-BBAE38DBA8EC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A7:B7 A13:B13 A18:B18 A23:B23 A26:B26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BEF977CD-53F6-45FD-A32A-8FB1841797EC}">
          <x14:formula1>
            <xm:f>Kontaktuppgifter!$A$2:$A$300</xm:f>
          </x14:formula1>
          <xm:sqref>F3 F8:F12 F14:F17 F5:F6 F19:F22 F27 F24:F25</xm:sqref>
        </x14:dataValidation>
        <x14:dataValidation type="list" allowBlank="1" showInputMessage="1" showErrorMessage="1" xr:uid="{075F29EE-983F-44A4-8AED-143D783D849A}">
          <x14:formula1>
            <xm:f>Listor!$A$2:$A$150</xm:f>
          </x14:formula1>
          <xm:sqref>E3 E8:E12 E19:E22 E5:E6 E14:E17 E27 E24:E25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20491-7AC1-4D93-942A-6A3ECC691E41}">
  <sheetPr codeName="Blad39"/>
  <dimension ref="A1:Y31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7.5546875" style="30" customWidth="1"/>
    <col min="2" max="2" width="10.44140625" style="30" customWidth="1"/>
    <col min="3" max="3" width="7.109375" style="31" bestFit="1" customWidth="1"/>
    <col min="4" max="4" width="6.21875" bestFit="1" customWidth="1"/>
    <col min="5" max="5" width="10.6640625" style="1" bestFit="1" customWidth="1"/>
    <col min="6" max="6" width="21.33203125" style="8" customWidth="1"/>
    <col min="7" max="7" width="23.33203125" style="8" bestFit="1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Måndag38</f>
        <v>45915</v>
      </c>
      <c r="W1" s="33">
        <f>Söndag38</f>
        <v>45921</v>
      </c>
      <c r="X1" s="34">
        <f>WEEKNUM(Söndag38, 2)</f>
        <v>38</v>
      </c>
      <c r="Y1" s="35" t="str">
        <f>"V. "&amp;X1&amp;", "&amp;TEXT(V1,"D MMM")&amp;"-"&amp;TEXT(W1,"D MMM")</f>
        <v>V. 38, 15 sep-21 sep</v>
      </c>
    </row>
    <row r="2" spans="1:25" s="39" customFormat="1" ht="15" customHeight="1" x14ac:dyDescent="0.3">
      <c r="A2" s="196" t="s">
        <v>0</v>
      </c>
      <c r="B2" s="197" t="s">
        <v>1</v>
      </c>
      <c r="C2" s="169" t="s">
        <v>824</v>
      </c>
      <c r="D2" s="170" t="s">
        <v>2</v>
      </c>
      <c r="E2" s="171" t="s">
        <v>3</v>
      </c>
      <c r="F2" s="171" t="s">
        <v>4</v>
      </c>
    </row>
    <row r="3" spans="1:25" ht="15" customHeight="1" x14ac:dyDescent="0.3">
      <c r="A3" s="198" t="str">
        <f t="shared" ref="A3" si="0">PROPER(TEXT(B3, "dddd"))</f>
        <v>Måndag</v>
      </c>
      <c r="B3" s="199">
        <f t="shared" ref="B3" si="1">Måndag38</f>
        <v>45915</v>
      </c>
      <c r="C3" s="172"/>
      <c r="D3" s="173"/>
      <c r="E3" s="174"/>
      <c r="F3" s="175"/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8" t="s">
        <v>0</v>
      </c>
      <c r="B4" s="200" t="s">
        <v>1</v>
      </c>
      <c r="C4" s="176" t="s">
        <v>824</v>
      </c>
      <c r="D4" s="177" t="s">
        <v>2</v>
      </c>
      <c r="E4" s="178" t="s">
        <v>3</v>
      </c>
      <c r="F4" s="179" t="s">
        <v>4</v>
      </c>
    </row>
    <row r="5" spans="1:25" ht="15" customHeight="1" x14ac:dyDescent="0.3">
      <c r="A5" s="198" t="str">
        <f t="shared" ref="A5" si="2">PROPER(TEXT(B5, "dddd"))</f>
        <v>Tisdag</v>
      </c>
      <c r="B5" s="200">
        <f t="shared" ref="B5" si="3">Tisdag38</f>
        <v>45916</v>
      </c>
      <c r="C5" s="172">
        <v>0.375</v>
      </c>
      <c r="D5" s="180">
        <v>0.4375</v>
      </c>
      <c r="E5" s="181">
        <v>33</v>
      </c>
      <c r="F5" s="182" t="s">
        <v>507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8"/>
      <c r="B6" s="200"/>
      <c r="C6" s="172">
        <v>0.5625</v>
      </c>
      <c r="D6" s="180">
        <v>0.64583333333333337</v>
      </c>
      <c r="E6" s="181"/>
      <c r="F6" s="182" t="s">
        <v>587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hidden="1" customHeight="1" x14ac:dyDescent="0.3">
      <c r="A7" s="198" t="s">
        <v>0</v>
      </c>
      <c r="B7" s="200" t="s">
        <v>1</v>
      </c>
      <c r="C7" s="176" t="s">
        <v>824</v>
      </c>
      <c r="D7" s="177" t="s">
        <v>2</v>
      </c>
      <c r="E7" s="178" t="s">
        <v>3</v>
      </c>
      <c r="F7" s="179" t="s">
        <v>4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198" t="str">
        <f t="shared" ref="A8" si="4">PROPER(TEXT(B8, "dddd"))</f>
        <v>Onsdag</v>
      </c>
      <c r="B8" s="200">
        <f t="shared" ref="B8" si="5">Onsdag38</f>
        <v>45917</v>
      </c>
      <c r="C8" s="172">
        <v>0.375</v>
      </c>
      <c r="D8" s="180">
        <v>0.45833333333333331</v>
      </c>
      <c r="E8" s="181"/>
      <c r="F8" s="182" t="s">
        <v>737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198"/>
      <c r="B9" s="200"/>
      <c r="C9" s="172">
        <v>0.375</v>
      </c>
      <c r="D9" s="180">
        <v>0.66666666666666663</v>
      </c>
      <c r="E9" s="181" t="s">
        <v>117</v>
      </c>
      <c r="F9" s="182" t="s">
        <v>894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8"/>
      <c r="B10" s="200"/>
      <c r="C10" s="172">
        <v>0.41666666666666669</v>
      </c>
      <c r="D10" s="180">
        <v>0.5</v>
      </c>
      <c r="E10" s="181"/>
      <c r="F10" s="182" t="s">
        <v>643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8"/>
      <c r="B11" s="200"/>
      <c r="C11" s="172">
        <v>0.55555555555555558</v>
      </c>
      <c r="D11" s="180">
        <v>0.63888888888888884</v>
      </c>
      <c r="E11" s="181"/>
      <c r="F11" s="182" t="s">
        <v>28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8"/>
      <c r="B12" s="200"/>
      <c r="C12" s="172">
        <v>0.55555555555555558</v>
      </c>
      <c r="D12" s="180">
        <v>0.63888888888888884</v>
      </c>
      <c r="E12" s="181"/>
      <c r="F12" s="182" t="s">
        <v>776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hidden="1" customHeight="1" x14ac:dyDescent="0.3">
      <c r="A13" s="198" t="s">
        <v>0</v>
      </c>
      <c r="B13" s="200" t="s">
        <v>1</v>
      </c>
      <c r="C13" s="176" t="s">
        <v>824</v>
      </c>
      <c r="D13" s="177" t="s">
        <v>2</v>
      </c>
      <c r="E13" s="178" t="s">
        <v>3</v>
      </c>
      <c r="F13" s="179" t="s">
        <v>4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8" t="str">
        <f t="shared" ref="A14" si="6">PROPER(TEXT(B14, "dddd"))</f>
        <v>Torsdag</v>
      </c>
      <c r="B14" s="200">
        <f t="shared" ref="B14" si="7">Torsdag38</f>
        <v>45918</v>
      </c>
      <c r="C14" s="172">
        <v>0.35416666666666669</v>
      </c>
      <c r="D14" s="180">
        <v>0.39583333333333331</v>
      </c>
      <c r="E14" s="181" t="s">
        <v>117</v>
      </c>
      <c r="F14" s="182" t="s">
        <v>453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198"/>
      <c r="B15" s="200"/>
      <c r="C15" s="172">
        <v>0.375</v>
      </c>
      <c r="D15" s="180">
        <v>0.4375</v>
      </c>
      <c r="E15" s="181" t="s">
        <v>72</v>
      </c>
      <c r="F15" s="182" t="s">
        <v>507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198"/>
      <c r="B16" s="200"/>
      <c r="C16" s="172">
        <v>0.41666666666666669</v>
      </c>
      <c r="D16" s="180">
        <v>0.5</v>
      </c>
      <c r="E16" s="181"/>
      <c r="F16" s="182" t="s">
        <v>238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8"/>
      <c r="B17" s="200"/>
      <c r="C17" s="172">
        <v>0.5625</v>
      </c>
      <c r="D17" s="180">
        <v>0.64583333333333337</v>
      </c>
      <c r="E17" s="181"/>
      <c r="F17" s="182" t="s">
        <v>218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hidden="1" customHeight="1" x14ac:dyDescent="0.3">
      <c r="A18" s="198" t="s">
        <v>0</v>
      </c>
      <c r="B18" s="200" t="s">
        <v>1</v>
      </c>
      <c r="C18" s="176" t="s">
        <v>824</v>
      </c>
      <c r="D18" s="177" t="s">
        <v>2</v>
      </c>
      <c r="E18" s="178" t="s">
        <v>3</v>
      </c>
      <c r="F18" s="179" t="s">
        <v>4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8" t="str">
        <f t="shared" ref="A19" si="8">PROPER(TEXT(B19, "dddd"))</f>
        <v>Fredag</v>
      </c>
      <c r="B19" s="200">
        <f t="shared" ref="B19" si="9">Fredag38</f>
        <v>45919</v>
      </c>
      <c r="C19" s="172">
        <v>0.35416666666666669</v>
      </c>
      <c r="D19" s="180">
        <v>0.39583333333333331</v>
      </c>
      <c r="E19" s="181" t="s">
        <v>117</v>
      </c>
      <c r="F19" s="182" t="s">
        <v>453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8"/>
      <c r="B20" s="200"/>
      <c r="C20" s="172">
        <v>0.375</v>
      </c>
      <c r="D20" s="180">
        <v>0.44791666666666669</v>
      </c>
      <c r="E20" s="181"/>
      <c r="F20" s="182" t="s">
        <v>508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198"/>
      <c r="B21" s="200"/>
      <c r="C21" s="172">
        <v>0.41666666666666669</v>
      </c>
      <c r="D21" s="180">
        <v>0.5</v>
      </c>
      <c r="E21" s="181"/>
      <c r="F21" s="182" t="s">
        <v>629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198"/>
      <c r="B22" s="200"/>
      <c r="C22" s="172">
        <v>0.44791666666666669</v>
      </c>
      <c r="D22" s="180">
        <v>0.51041666666666663</v>
      </c>
      <c r="E22" s="181">
        <v>13</v>
      </c>
      <c r="F22" s="182" t="s">
        <v>507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s="10" customFormat="1" ht="15" customHeight="1" x14ac:dyDescent="0.3">
      <c r="A23" s="198"/>
      <c r="B23" s="200"/>
      <c r="C23" s="172">
        <v>0.45833333333333331</v>
      </c>
      <c r="D23" s="173">
        <v>0.54166666666666663</v>
      </c>
      <c r="E23" s="174"/>
      <c r="F23" s="175" t="s">
        <v>800</v>
      </c>
    </row>
    <row r="24" spans="1:24" ht="15" hidden="1" customHeight="1" x14ac:dyDescent="0.3">
      <c r="A24" s="198" t="s">
        <v>0</v>
      </c>
      <c r="B24" s="200" t="s">
        <v>1</v>
      </c>
      <c r="C24" s="176" t="s">
        <v>824</v>
      </c>
      <c r="D24" s="177" t="s">
        <v>2</v>
      </c>
      <c r="E24" s="178" t="s">
        <v>3</v>
      </c>
      <c r="F24" s="179" t="s">
        <v>4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8" t="str">
        <f t="shared" ref="A25" si="10">PROPER(TEXT(B25, "dddd"))</f>
        <v>Lördag</v>
      </c>
      <c r="B25" s="200">
        <f t="shared" ref="B25" si="11">Lördag38</f>
        <v>45920</v>
      </c>
      <c r="C25" s="172">
        <v>0.29166666666666669</v>
      </c>
      <c r="D25" s="180">
        <v>0.66666666666666663</v>
      </c>
      <c r="E25" s="181"/>
      <c r="F25" s="182" t="s">
        <v>476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hidden="1" customHeight="1" x14ac:dyDescent="0.3">
      <c r="A26" s="198" t="s">
        <v>0</v>
      </c>
      <c r="B26" s="200" t="s">
        <v>1</v>
      </c>
      <c r="C26" s="176" t="s">
        <v>824</v>
      </c>
      <c r="D26" s="177" t="s">
        <v>2</v>
      </c>
      <c r="E26" s="178" t="s">
        <v>3</v>
      </c>
      <c r="F26" s="179" t="s">
        <v>4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198" t="str">
        <f t="shared" ref="A27" si="12">PROPER(TEXT(B27, "dddd"))</f>
        <v>Söndag</v>
      </c>
      <c r="B27" s="200">
        <f t="shared" ref="B27" si="13">Söndag38</f>
        <v>45921</v>
      </c>
      <c r="C27" s="172">
        <v>0.60416666666666663</v>
      </c>
      <c r="D27" s="180">
        <v>0.6875</v>
      </c>
      <c r="E27" s="181"/>
      <c r="F27" s="182" t="s">
        <v>149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9" spans="1:24" ht="15" customHeight="1" x14ac:dyDescent="0.3">
      <c r="C29" s="40"/>
      <c r="D29" s="41"/>
    </row>
    <row r="30" spans="1:24" ht="15" customHeight="1" x14ac:dyDescent="0.3">
      <c r="C30" s="40"/>
      <c r="D30" s="8"/>
    </row>
    <row r="31" spans="1:24" ht="15" customHeight="1" x14ac:dyDescent="0.3">
      <c r="C31" s="40"/>
      <c r="D31" s="8"/>
    </row>
  </sheetData>
  <sheetProtection algorithmName="SHA-512" hashValue="sS0v7LDm8ZMOcpdjiQI2TTXLkBa1mn9Uhw+2wKY1opdeBFr0P8pt5GdjyKH2EOHqHTympBzL9GsGCFg9/w8waw==" saltValue="JZQbtjafQtfclIq7EJ+Fbg==" spinCount="100000" sheet="1" objects="1" scenarios="1" autoFilter="0" pivotTables="0"/>
  <sortState xmlns:xlrd2="http://schemas.microsoft.com/office/spreadsheetml/2017/richdata2" ref="A19:F23">
    <sortCondition ref="C19:C23"/>
  </sortState>
  <conditionalFormatting sqref="A14:A17 A25 A27 A8:A12 A19:A23 A6">
    <cfRule type="cellIs" dxfId="391" priority="7" operator="equal">
      <formula>"Datum"</formula>
    </cfRule>
    <cfRule type="cellIs" dxfId="390" priority="8" operator="equal">
      <formula>"Dag"</formula>
    </cfRule>
    <cfRule type="expression" dxfId="389" priority="10">
      <formula>OR(IF($A5="Dag",1))</formula>
    </cfRule>
  </conditionalFormatting>
  <conditionalFormatting sqref="A26">
    <cfRule type="expression" dxfId="388" priority="28">
      <formula>OR(IF(#REF!="Dag",1))</formula>
    </cfRule>
  </conditionalFormatting>
  <conditionalFormatting sqref="A1:B2 A4:B4 A7:B7 A13:B13 B14:B17 A18:B18 A24:B24 B25 A26:B26 B27 A28:B1048576 B8:B12 B19:B23 B3 B5:B6">
    <cfRule type="cellIs" dxfId="387" priority="20" operator="equal">
      <formula>"Datum"</formula>
    </cfRule>
    <cfRule type="cellIs" dxfId="386" priority="21" operator="equal">
      <formula>"Dag"</formula>
    </cfRule>
  </conditionalFormatting>
  <conditionalFormatting sqref="B6 B8:B12 B14:B17 B19:B23 B25 B27">
    <cfRule type="expression" dxfId="385" priority="27">
      <formula>OR(IF($B5="Datum",1))</formula>
    </cfRule>
  </conditionalFormatting>
  <conditionalFormatting sqref="C15:D15 C3:E5 C7:E14 C16:E19 C21:E27">
    <cfRule type="expression" dxfId="384" priority="24">
      <formula>OR(IF($E3="Hela hallen",1))</formula>
    </cfRule>
  </conditionalFormatting>
  <conditionalFormatting sqref="L1:T1048576">
    <cfRule type="cellIs" dxfId="383" priority="19" operator="equal">
      <formula>"-"</formula>
    </cfRule>
  </conditionalFormatting>
  <conditionalFormatting sqref="B24 B26">
    <cfRule type="expression" dxfId="382" priority="964">
      <formula>OR(IF(#REF!="Datum",1))</formula>
    </cfRule>
  </conditionalFormatting>
  <conditionalFormatting sqref="A24">
    <cfRule type="expression" dxfId="381" priority="1152">
      <formula>OR(IF(#REF!="Dag",1))</formula>
    </cfRule>
  </conditionalFormatting>
  <conditionalFormatting sqref="C6:E6">
    <cfRule type="expression" dxfId="380" priority="5">
      <formula>OR(IF($E6="Hela hallen",1))</formula>
    </cfRule>
  </conditionalFormatting>
  <conditionalFormatting sqref="C20:E20">
    <cfRule type="expression" dxfId="379" priority="3">
      <formula>OR(IF($E20="Hela hallen",1))</formula>
    </cfRule>
  </conditionalFormatting>
  <conditionalFormatting sqref="E15">
    <cfRule type="expression" dxfId="378" priority="1">
      <formula>OR(IF($E15="Hela hallen",1))</formula>
    </cfRule>
  </conditionalFormatting>
  <conditionalFormatting sqref="A3 A5">
    <cfRule type="cellIs" dxfId="376" priority="3218" operator="equal">
      <formula>"Datum"</formula>
    </cfRule>
    <cfRule type="cellIs" dxfId="375" priority="3219" operator="equal">
      <formula>"Dag"</formula>
    </cfRule>
    <cfRule type="expression" dxfId="374" priority="3220">
      <formula>OR(IF(#REF!="Dag",1))</formula>
    </cfRule>
  </conditionalFormatting>
  <conditionalFormatting sqref="B3:B5 B7 B13 B18">
    <cfRule type="expression" dxfId="373" priority="3226">
      <formula>OR(IF(#REF!="Datum",1))</formula>
    </cfRule>
  </conditionalFormatting>
  <conditionalFormatting sqref="C3:F27">
    <cfRule type="expression" dxfId="371" priority="3236">
      <formula>OR(IF(#REF!=TRUE,1))</formula>
    </cfRule>
  </conditionalFormatting>
  <conditionalFormatting sqref="A4 A7 A13 A18">
    <cfRule type="expression" dxfId="370" priority="3237">
      <formula>OR(IF(#REF!="Dag",1))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8F3F75D-8509-48B8-990D-FB2607AEA957}">
            <xm:f>AND(IF(ISERROR(MATCH($B6,Kalenderår!$A$3:$A$17,0)),FALSE,TRUE), IF($B5="Datum",TRUE,FALSE), IF($A5="Dag",TRUE,FALSE))</xm:f>
            <x14:dxf>
              <font>
                <color rgb="FFC00000"/>
              </font>
            </x14:dxf>
          </x14:cfRule>
          <xm:sqref>A6:B6 A8:B12 A14:B17 A19:B23 A25:B25 A27:B27</xm:sqref>
        </x14:conditionalFormatting>
        <x14:conditionalFormatting xmlns:xm="http://schemas.microsoft.com/office/excel/2006/main">
          <x14:cfRule type="expression" priority="3234" id="{08F3F75D-8509-48B8-990D-FB2607AEA957}">
            <xm:f>AND(IF(ISERROR(MATCH($B3,Kalenderår!$A$3:$A$17,0)),FALSE,TRUE), IF(#REF!="Datum",TRUE,FALSE), IF(#REF!="Dag",TRUE,FALSE))</xm:f>
            <x14:dxf>
              <font>
                <color rgb="FFC00000"/>
              </font>
            </x14:dxf>
          </x14:cfRule>
          <xm:sqref>A3:B5 A7:B7 A13:B13 A18:B18 A24:B24 A26:B26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B4F4877-E0DC-4484-B137-80C863E0BA92}">
          <x14:formula1>
            <xm:f>Listor!$A$2:$A$150</xm:f>
          </x14:formula1>
          <xm:sqref>E8:E12 E19:E23 E25 E27 E14:E17 E3 E5:E6</xm:sqref>
        </x14:dataValidation>
        <x14:dataValidation type="list" allowBlank="1" showInputMessage="1" showErrorMessage="1" xr:uid="{94BDFC5A-27F4-4AFD-8DA0-C1E8F2E090E5}">
          <x14:formula1>
            <xm:f>Kontaktuppgifter!$A$2:$A$300</xm:f>
          </x14:formula1>
          <xm:sqref>F8:F12 F14:F17 F25 F27 F19:F23 F3 F5:F6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3678A-7987-4B55-AF12-AD11BA5E9CA6}">
  <sheetPr codeName="Blad40"/>
  <dimension ref="A1:Y44"/>
  <sheetViews>
    <sheetView showGridLines="0" zoomScaleNormal="100" workbookViewId="0">
      <pane ySplit="2" topLeftCell="A3" activePane="bottomLeft" state="frozen"/>
      <selection activeCell="F22" sqref="F22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Måndag39</f>
        <v>45922</v>
      </c>
      <c r="W1" s="33">
        <f>Söndag39</f>
        <v>45928</v>
      </c>
      <c r="X1" s="34">
        <f>WEEKNUM(Söndag39, 2)</f>
        <v>39</v>
      </c>
      <c r="Y1" s="35" t="str">
        <f>"V. "&amp;X1&amp;", "&amp;TEXT(V1,"D MMM")&amp;"-"&amp;TEXT(W1,"D MMM")</f>
        <v>V. 39, 22 sep-28 sep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Måndag39</f>
        <v>45922</v>
      </c>
      <c r="C3" s="40">
        <v>0.70833333333333337</v>
      </c>
      <c r="D3" s="41">
        <v>0.83333333333333337</v>
      </c>
      <c r="E3" s="42"/>
      <c r="F3" s="43" t="s">
        <v>873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 t="shared" ref="A5" si="2">PROPER(TEXT(B5, "dddd"))</f>
        <v>Tisdag</v>
      </c>
      <c r="B5" s="195">
        <f t="shared" ref="B5" si="3">Tisdag39</f>
        <v>45923</v>
      </c>
      <c r="C5" s="40">
        <v>0.375</v>
      </c>
      <c r="D5" s="48">
        <v>0.4375</v>
      </c>
      <c r="E5" s="49">
        <v>33</v>
      </c>
      <c r="F5" s="50" t="s">
        <v>507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5"/>
      <c r="C6" s="40">
        <v>0.5625</v>
      </c>
      <c r="D6" s="48">
        <v>0.64583333333333337</v>
      </c>
      <c r="E6" s="49"/>
      <c r="F6" s="50" t="s">
        <v>587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/>
      <c r="B7" s="195"/>
      <c r="C7" s="40">
        <v>0.5625</v>
      </c>
      <c r="D7" s="48">
        <v>0.64583333333333337</v>
      </c>
      <c r="E7" s="49" t="s">
        <v>89</v>
      </c>
      <c r="F7" s="50" t="s">
        <v>541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193"/>
      <c r="B8" s="195"/>
      <c r="C8" s="40">
        <v>0.58333333333333337</v>
      </c>
      <c r="D8" s="41">
        <v>0.625</v>
      </c>
      <c r="E8" s="42" t="s">
        <v>77</v>
      </c>
      <c r="F8" s="43" t="s">
        <v>521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193"/>
      <c r="B9" s="195"/>
      <c r="C9" s="40">
        <v>0.70833333333333337</v>
      </c>
      <c r="D9" s="48">
        <v>0.83333333333333337</v>
      </c>
      <c r="E9" s="49"/>
      <c r="F9" s="50" t="s">
        <v>873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hidden="1" customHeight="1" x14ac:dyDescent="0.3">
      <c r="A10" s="193" t="s">
        <v>0</v>
      </c>
      <c r="B10" s="195" t="s">
        <v>1</v>
      </c>
      <c r="C10" s="44" t="s">
        <v>824</v>
      </c>
      <c r="D10" s="45" t="s">
        <v>2</v>
      </c>
      <c r="E10" s="46" t="s">
        <v>3</v>
      </c>
      <c r="F10" s="47" t="s">
        <v>4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 t="str">
        <f t="shared" ref="A11" si="4">PROPER(TEXT(B11, "dddd"))</f>
        <v>Onsdag</v>
      </c>
      <c r="B11" s="195">
        <f t="shared" ref="B11" si="5">Onsdag39</f>
        <v>45924</v>
      </c>
      <c r="C11" s="40">
        <v>0.35416666666666669</v>
      </c>
      <c r="D11" s="48">
        <v>0.39583333333333331</v>
      </c>
      <c r="E11" s="49" t="s">
        <v>77</v>
      </c>
      <c r="F11" s="50" t="s">
        <v>521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0.35416666666666669</v>
      </c>
      <c r="D12" s="48">
        <v>0.3888888888888889</v>
      </c>
      <c r="E12" s="49">
        <v>50</v>
      </c>
      <c r="F12" s="50" t="s">
        <v>453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0.375</v>
      </c>
      <c r="D13" s="48">
        <v>0.45833333333333331</v>
      </c>
      <c r="E13" s="49"/>
      <c r="F13" s="50" t="s">
        <v>737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/>
      <c r="B14" s="195"/>
      <c r="C14" s="40">
        <v>0.41666666666666669</v>
      </c>
      <c r="D14" s="48">
        <v>0.5</v>
      </c>
      <c r="E14" s="49"/>
      <c r="F14" s="50" t="s">
        <v>643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s="10" customFormat="1" ht="15" customHeight="1" x14ac:dyDescent="0.3">
      <c r="A15" s="193"/>
      <c r="B15" s="195"/>
      <c r="C15" s="40">
        <v>0.41666666666666669</v>
      </c>
      <c r="D15" s="48">
        <v>0.47916666666666669</v>
      </c>
      <c r="E15" s="49">
        <v>50</v>
      </c>
      <c r="F15" s="50" t="s">
        <v>500</v>
      </c>
    </row>
    <row r="16" spans="1:25" ht="15" customHeight="1" x14ac:dyDescent="0.3">
      <c r="A16" s="193"/>
      <c r="B16" s="195"/>
      <c r="C16" s="40">
        <v>0.4375</v>
      </c>
      <c r="D16" s="48">
        <v>0.47916666666666669</v>
      </c>
      <c r="E16" s="49" t="s">
        <v>77</v>
      </c>
      <c r="F16" s="50" t="s">
        <v>521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0.55555555555555558</v>
      </c>
      <c r="D17" s="48">
        <v>0.63888888888888884</v>
      </c>
      <c r="E17" s="49"/>
      <c r="F17" s="50" t="s">
        <v>28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/>
      <c r="B18" s="195"/>
      <c r="C18" s="40">
        <v>0.55555555555555558</v>
      </c>
      <c r="D18" s="48">
        <v>0.63888888888888884</v>
      </c>
      <c r="E18" s="49"/>
      <c r="F18" s="50" t="s">
        <v>776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/>
      <c r="B19" s="195"/>
      <c r="C19" s="40">
        <v>0.60416666666666663</v>
      </c>
      <c r="D19" s="48">
        <v>0.64583333333333337</v>
      </c>
      <c r="E19" s="49" t="s">
        <v>72</v>
      </c>
      <c r="F19" s="50" t="s">
        <v>521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/>
      <c r="B20" s="195"/>
      <c r="C20" s="40">
        <v>0.70833333333333337</v>
      </c>
      <c r="D20" s="48">
        <v>0.83333333333333337</v>
      </c>
      <c r="E20" s="49"/>
      <c r="F20" s="50" t="s">
        <v>873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hidden="1" customHeight="1" x14ac:dyDescent="0.3">
      <c r="A21" s="193" t="s">
        <v>0</v>
      </c>
      <c r="B21" s="195" t="s">
        <v>1</v>
      </c>
      <c r="C21" s="44" t="s">
        <v>824</v>
      </c>
      <c r="D21" s="45" t="s">
        <v>2</v>
      </c>
      <c r="E21" s="46" t="s">
        <v>3</v>
      </c>
      <c r="F21" s="47" t="s">
        <v>4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193" t="str">
        <f t="shared" ref="A22" si="6">PROPER(TEXT(B22, "dddd"))</f>
        <v>Torsdag</v>
      </c>
      <c r="B22" s="195">
        <f t="shared" ref="B22" si="7">Torsdag39</f>
        <v>45925</v>
      </c>
      <c r="C22" s="40">
        <v>0.35416666666666669</v>
      </c>
      <c r="D22" s="48">
        <v>0.39583333333333331</v>
      </c>
      <c r="E22" s="49" t="s">
        <v>117</v>
      </c>
      <c r="F22" s="50" t="s">
        <v>453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193"/>
      <c r="B23" s="195"/>
      <c r="C23" s="40">
        <v>0.375</v>
      </c>
      <c r="D23" s="48">
        <v>0.4375</v>
      </c>
      <c r="E23" s="49" t="s">
        <v>72</v>
      </c>
      <c r="F23" s="50" t="s">
        <v>507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193"/>
      <c r="B24" s="195"/>
      <c r="C24" s="40">
        <v>0.41666666666666669</v>
      </c>
      <c r="D24" s="48">
        <v>0.5</v>
      </c>
      <c r="E24" s="49"/>
      <c r="F24" s="50" t="s">
        <v>238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/>
      <c r="B25" s="195"/>
      <c r="C25" s="40">
        <v>0.45833333333333331</v>
      </c>
      <c r="D25" s="48">
        <v>0.5</v>
      </c>
      <c r="E25" s="49" t="s">
        <v>72</v>
      </c>
      <c r="F25" s="50" t="s">
        <v>521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/>
      <c r="B26" s="195"/>
      <c r="C26" s="40">
        <v>0.5625</v>
      </c>
      <c r="D26" s="41">
        <v>0.64583333333333337</v>
      </c>
      <c r="E26" s="42"/>
      <c r="F26" s="43" t="s">
        <v>218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s="10" customFormat="1" ht="15" customHeight="1" x14ac:dyDescent="0.3">
      <c r="A27" s="193"/>
      <c r="B27" s="195"/>
      <c r="C27" s="40">
        <v>0.70833333333333337</v>
      </c>
      <c r="D27" s="48">
        <v>0.83333333333333337</v>
      </c>
      <c r="E27" s="49"/>
      <c r="F27" s="50" t="s">
        <v>873</v>
      </c>
    </row>
    <row r="28" spans="1:24" ht="15" hidden="1" customHeight="1" x14ac:dyDescent="0.3">
      <c r="A28" s="193" t="s">
        <v>0</v>
      </c>
      <c r="B28" s="195" t="s">
        <v>1</v>
      </c>
      <c r="C28" s="44" t="s">
        <v>824</v>
      </c>
      <c r="D28" s="45" t="s">
        <v>2</v>
      </c>
      <c r="E28" s="46" t="s">
        <v>3</v>
      </c>
      <c r="F28" s="47" t="s">
        <v>4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193" t="str">
        <f t="shared" ref="A29" si="8">PROPER(TEXT(B29, "dddd"))</f>
        <v>Fredag</v>
      </c>
      <c r="B29" s="195">
        <f t="shared" ref="B29" si="9">Fredag39</f>
        <v>45926</v>
      </c>
      <c r="C29" s="40">
        <v>0.35416666666666669</v>
      </c>
      <c r="D29" s="48">
        <v>0.39583333333333331</v>
      </c>
      <c r="E29" s="49" t="s">
        <v>117</v>
      </c>
      <c r="F29" s="50" t="s">
        <v>453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193"/>
      <c r="B30" s="195"/>
      <c r="C30" s="40">
        <v>0.375</v>
      </c>
      <c r="D30" s="48">
        <v>0.44791666666666669</v>
      </c>
      <c r="E30" s="49"/>
      <c r="F30" s="50" t="s">
        <v>508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193"/>
      <c r="B31" s="195"/>
      <c r="C31" s="40">
        <v>0.41666666666666669</v>
      </c>
      <c r="D31" s="48">
        <v>0.5</v>
      </c>
      <c r="E31" s="49"/>
      <c r="F31" s="50" t="s">
        <v>629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193"/>
      <c r="B32" s="195"/>
      <c r="C32" s="40">
        <v>0.44791666666666669</v>
      </c>
      <c r="D32" s="48">
        <v>0.51041666666666663</v>
      </c>
      <c r="E32" s="49">
        <v>13</v>
      </c>
      <c r="F32" s="50" t="s">
        <v>507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s="10" customFormat="1" ht="15" customHeight="1" x14ac:dyDescent="0.3">
      <c r="A33" s="193"/>
      <c r="B33" s="195"/>
      <c r="C33" s="40">
        <v>0.45833333333333331</v>
      </c>
      <c r="D33" s="41">
        <v>0.54166666666666663</v>
      </c>
      <c r="E33" s="42"/>
      <c r="F33" s="43" t="s">
        <v>800</v>
      </c>
    </row>
    <row r="34" spans="1:24" ht="15" customHeight="1" x14ac:dyDescent="0.3">
      <c r="A34" s="193"/>
      <c r="B34" s="195"/>
      <c r="C34" s="40">
        <v>0.70833333333333337</v>
      </c>
      <c r="D34" s="48">
        <v>0.83333333333333337</v>
      </c>
      <c r="E34" s="49"/>
      <c r="F34" s="50" t="s">
        <v>873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hidden="1" customHeight="1" x14ac:dyDescent="0.3">
      <c r="A35" s="193" t="s">
        <v>0</v>
      </c>
      <c r="B35" s="195" t="s">
        <v>1</v>
      </c>
      <c r="C35" s="44" t="s">
        <v>824</v>
      </c>
      <c r="D35" s="45" t="s">
        <v>2</v>
      </c>
      <c r="E35" s="46" t="s">
        <v>3</v>
      </c>
      <c r="F35" s="47" t="s">
        <v>4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customHeight="1" x14ac:dyDescent="0.3">
      <c r="A36" s="193" t="str">
        <f t="shared" ref="A36" si="10">PROPER(TEXT(B36, "dddd"))</f>
        <v>Lördag</v>
      </c>
      <c r="B36" s="195">
        <f t="shared" ref="B36" si="11">Lördag39</f>
        <v>45927</v>
      </c>
      <c r="C36" s="40">
        <v>0.375</v>
      </c>
      <c r="D36" s="48">
        <v>0.625</v>
      </c>
      <c r="E36" s="49"/>
      <c r="F36" s="50" t="s">
        <v>873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193"/>
      <c r="B37" s="195"/>
      <c r="C37" s="40">
        <v>0.625</v>
      </c>
      <c r="D37" s="48">
        <v>0.66666666666666663</v>
      </c>
      <c r="E37" s="49"/>
      <c r="F37" s="50" t="s">
        <v>561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8" spans="1:24" ht="15" customHeight="1" x14ac:dyDescent="0.3">
      <c r="A38" s="193"/>
      <c r="B38" s="195"/>
      <c r="C38" s="40">
        <v>0.70833333333333337</v>
      </c>
      <c r="D38" s="48">
        <v>0.8125</v>
      </c>
      <c r="E38" s="49"/>
      <c r="F38" s="50" t="s">
        <v>1023</v>
      </c>
      <c r="G38"/>
      <c r="H38" s="1"/>
      <c r="I38" s="1"/>
      <c r="L38"/>
      <c r="M38"/>
      <c r="N38"/>
      <c r="O38"/>
      <c r="P38"/>
      <c r="Q38"/>
      <c r="R38"/>
      <c r="S38"/>
      <c r="T38"/>
      <c r="V38"/>
      <c r="W38"/>
      <c r="X38"/>
    </row>
    <row r="39" spans="1:24" ht="15" hidden="1" customHeight="1" x14ac:dyDescent="0.3">
      <c r="A39" s="193" t="s">
        <v>0</v>
      </c>
      <c r="B39" s="195" t="s">
        <v>1</v>
      </c>
      <c r="C39" s="44" t="s">
        <v>824</v>
      </c>
      <c r="D39" s="45" t="s">
        <v>2</v>
      </c>
      <c r="E39" s="46" t="s">
        <v>3</v>
      </c>
      <c r="F39" s="47" t="s">
        <v>4</v>
      </c>
      <c r="G39"/>
      <c r="H39" s="1"/>
      <c r="I39" s="1"/>
      <c r="L39"/>
      <c r="M39"/>
      <c r="N39"/>
      <c r="O39"/>
      <c r="P39"/>
      <c r="Q39"/>
      <c r="R39"/>
      <c r="S39"/>
      <c r="T39"/>
      <c r="V39"/>
      <c r="W39"/>
      <c r="X39"/>
    </row>
    <row r="40" spans="1:24" ht="15" customHeight="1" x14ac:dyDescent="0.3">
      <c r="A40" s="193" t="str">
        <f t="shared" ref="A40" si="12">PROPER(TEXT(B40, "dddd"))</f>
        <v>Söndag</v>
      </c>
      <c r="B40" s="195">
        <f t="shared" ref="B40" si="13">Söndag39</f>
        <v>45928</v>
      </c>
      <c r="C40" s="40">
        <v>0.375</v>
      </c>
      <c r="D40" s="48">
        <v>0.79166666666666663</v>
      </c>
      <c r="E40" s="49"/>
      <c r="F40" s="50" t="s">
        <v>873</v>
      </c>
      <c r="G40"/>
      <c r="H40" s="1"/>
      <c r="I40" s="1"/>
      <c r="L40"/>
      <c r="M40"/>
      <c r="N40"/>
      <c r="O40"/>
      <c r="P40"/>
      <c r="Q40"/>
      <c r="R40"/>
      <c r="S40"/>
      <c r="T40"/>
      <c r="V40"/>
      <c r="W40"/>
      <c r="X40"/>
    </row>
    <row r="42" spans="1:24" ht="15" customHeight="1" x14ac:dyDescent="0.3">
      <c r="C42" s="40"/>
      <c r="D42" s="41"/>
    </row>
    <row r="43" spans="1:24" ht="15" customHeight="1" x14ac:dyDescent="0.3">
      <c r="C43" s="40"/>
      <c r="D43" s="8"/>
    </row>
    <row r="44" spans="1:24" ht="15" customHeight="1" x14ac:dyDescent="0.3">
      <c r="C44" s="40"/>
      <c r="D44" s="8"/>
    </row>
  </sheetData>
  <sheetProtection algorithmName="SHA-512" hashValue="15mgIsEF6P0/QkJCZ0Cr8vh4tq46sbW16IswDWvooOUqIrVdsmqAaBHOhwXaGgqu7MT3SZzUQLpz3hsjxXNg7Q==" saltValue="CZH6FyQa3lt/XcKcsouFMg==" spinCount="100000" sheet="1" objects="1" scenarios="1" autoFilter="0" pivotTables="0"/>
  <sortState xmlns:xlrd2="http://schemas.microsoft.com/office/spreadsheetml/2017/richdata2" ref="A29:F34">
    <sortCondition ref="C29:C34"/>
  </sortState>
  <conditionalFormatting sqref="A36:A38 A40 A22:A27 A29:A34 A6:A9 A11:A16 A18:A20">
    <cfRule type="cellIs" dxfId="369" priority="15" operator="equal">
      <formula>"Datum"</formula>
    </cfRule>
    <cfRule type="cellIs" dxfId="368" priority="16" operator="equal">
      <formula>"Dag"</formula>
    </cfRule>
    <cfRule type="expression" dxfId="367" priority="18">
      <formula>OR(IF($A5="Dag",1))</formula>
    </cfRule>
  </conditionalFormatting>
  <conditionalFormatting sqref="A28">
    <cfRule type="expression" dxfId="366" priority="36">
      <formula>OR(IF($A27="Dag",1))</formula>
    </cfRule>
  </conditionalFormatting>
  <conditionalFormatting sqref="A1:B2 A4:B4 A10:B10 A21:B21 A28:B28 A35:B35 B36:B38 A39:B39 B40 A41:B1048576 B22:B27 B29:B34 B3 B5:B9 B11:B20">
    <cfRule type="cellIs" dxfId="365" priority="28" operator="equal">
      <formula>"Datum"</formula>
    </cfRule>
    <cfRule type="cellIs" dxfId="364" priority="29" operator="equal">
      <formula>"Dag"</formula>
    </cfRule>
  </conditionalFormatting>
  <conditionalFormatting sqref="B6:B9 B11:B16 B18:B20 B22:B34 B36:B38 B40">
    <cfRule type="expression" dxfId="363" priority="35">
      <formula>OR(IF($B5="Datum",1))</formula>
    </cfRule>
  </conditionalFormatting>
  <conditionalFormatting sqref="C7:E7 C31:E32 C24:E25 C23:D23 C4:E5 C9:E22 C27:E29 C34:E40">
    <cfRule type="expression" dxfId="362" priority="32">
      <formula>OR(IF($E4="Hela hallen",1))</formula>
    </cfRule>
  </conditionalFormatting>
  <conditionalFormatting sqref="L1:T1048576">
    <cfRule type="cellIs" dxfId="361" priority="27" operator="equal">
      <formula>"-"</formula>
    </cfRule>
  </conditionalFormatting>
  <conditionalFormatting sqref="A35">
    <cfRule type="expression" dxfId="360" priority="1164">
      <formula>OR(IF($A34="Dag",1))</formula>
    </cfRule>
  </conditionalFormatting>
  <conditionalFormatting sqref="B35">
    <cfRule type="expression" dxfId="359" priority="1168">
      <formula>OR(IF($B34="Datum",1))</formula>
    </cfRule>
  </conditionalFormatting>
  <conditionalFormatting sqref="C3:E3">
    <cfRule type="expression" dxfId="358" priority="13">
      <formula>OR(IF($E3="Hela hallen",1))</formula>
    </cfRule>
  </conditionalFormatting>
  <conditionalFormatting sqref="C8:E8">
    <cfRule type="expression" dxfId="357" priority="11">
      <formula>OR(IF($E8="Hela hallen",1))</formula>
    </cfRule>
  </conditionalFormatting>
  <conditionalFormatting sqref="C26:E26">
    <cfRule type="expression" dxfId="356" priority="9">
      <formula>OR(IF($E26="Hela hallen",1))</formula>
    </cfRule>
  </conditionalFormatting>
  <conditionalFormatting sqref="C33:E33">
    <cfRule type="expression" dxfId="355" priority="7">
      <formula>OR(IF($E33="Hela hallen",1))</formula>
    </cfRule>
  </conditionalFormatting>
  <conditionalFormatting sqref="A21">
    <cfRule type="expression" dxfId="354" priority="1772">
      <formula>OR(IF($A16="Dag",1))</formula>
    </cfRule>
  </conditionalFormatting>
  <conditionalFormatting sqref="B21">
    <cfRule type="expression" dxfId="353" priority="1773">
      <formula>OR(IF($B16="Datum",1))</formula>
    </cfRule>
  </conditionalFormatting>
  <conditionalFormatting sqref="A10">
    <cfRule type="expression" dxfId="352" priority="2330">
      <formula>OR(IF($A9="Dag",1))</formula>
    </cfRule>
  </conditionalFormatting>
  <conditionalFormatting sqref="B10">
    <cfRule type="expression" dxfId="351" priority="2331">
      <formula>OR(IF($B9="Datum",1))</formula>
    </cfRule>
  </conditionalFormatting>
  <conditionalFormatting sqref="C6:E6">
    <cfRule type="expression" dxfId="350" priority="5">
      <formula>OR(IF($E6="Hela hallen",1))</formula>
    </cfRule>
  </conditionalFormatting>
  <conditionalFormatting sqref="C30:E30">
    <cfRule type="expression" dxfId="349" priority="3">
      <formula>OR(IF($E30="Hela hallen",1))</formula>
    </cfRule>
  </conditionalFormatting>
  <conditionalFormatting sqref="E23">
    <cfRule type="expression" dxfId="348" priority="1">
      <formula>OR(IF($E23="Hela hallen",1))</formula>
    </cfRule>
  </conditionalFormatting>
  <conditionalFormatting sqref="A3 A5 A17">
    <cfRule type="cellIs" dxfId="346" priority="3238" operator="equal">
      <formula>"Datum"</formula>
    </cfRule>
    <cfRule type="cellIs" dxfId="345" priority="3239" operator="equal">
      <formula>"Dag"</formula>
    </cfRule>
    <cfRule type="expression" dxfId="344" priority="3240">
      <formula>OR(IF(#REF!="Dag",1))</formula>
    </cfRule>
  </conditionalFormatting>
  <conditionalFormatting sqref="B3:B5 B17 B39">
    <cfRule type="expression" dxfId="343" priority="3246">
      <formula>OR(IF(#REF!="Datum",1))</formula>
    </cfRule>
  </conditionalFormatting>
  <conditionalFormatting sqref="C3:F40">
    <cfRule type="expression" dxfId="341" priority="3253">
      <formula>OR(IF(#REF!=TRUE,1))</formula>
    </cfRule>
  </conditionalFormatting>
  <conditionalFormatting sqref="A4 A39">
    <cfRule type="expression" dxfId="340" priority="3254">
      <formula>OR(IF(#REF!="Dag",1))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B4F6F577-B763-45AA-BCF1-5ED52F24D51B}">
            <xm:f>AND(IF(ISERROR(MATCH($B6,Kalenderår!$A$3:$A$17,0)),FALSE,TRUE), IF($B5="Datum",TRUE,FALSE), IF($A5="Dag",TRUE,FALSE))</xm:f>
            <x14:dxf>
              <font>
                <color rgb="FFC00000"/>
              </font>
            </x14:dxf>
          </x14:cfRule>
          <xm:sqref>A6:B16 A18:B20 A22:B38 A40:B40</xm:sqref>
        </x14:conditionalFormatting>
        <x14:conditionalFormatting xmlns:xm="http://schemas.microsoft.com/office/excel/2006/main">
          <x14:cfRule type="expression" priority="3251" id="{B4F6F577-B763-45AA-BCF1-5ED52F24D51B}">
            <xm:f>AND(IF(ISERROR(MATCH($B3,Kalenderår!$A$3:$A$17,0)),FALSE,TRUE), IF(#REF!="Datum",TRUE,FALSE), IF(#REF!="Dag",TRUE,FALSE))</xm:f>
            <x14:dxf>
              <font>
                <color rgb="FFC00000"/>
              </font>
            </x14:dxf>
          </x14:cfRule>
          <xm:sqref>A3:B5 A17:B17 A39:B39</xm:sqref>
        </x14:conditionalFormatting>
        <x14:conditionalFormatting xmlns:xm="http://schemas.microsoft.com/office/excel/2006/main">
          <x14:cfRule type="expression" priority="3291" id="{9618E6BE-06E6-4782-8E73-9962824C3ECF}">
            <xm:f>AND(IF(ISERROR(MATCH($B21,Kalenderår!$A$3:$A$17,0)),FALSE,TRUE), IF($B16="Datum",TRUE,FALSE), IF($A16="Dag",TRUE,FALSE))</xm:f>
            <x14:dxf>
              <font>
                <color rgb="FFC00000"/>
              </font>
            </x14:dxf>
          </x14:cfRule>
          <xm:sqref>A21:B21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82AA1C3-9438-4A1A-94EA-442D69C36BDB}">
          <x14:formula1>
            <xm:f>Kontaktuppgifter!$A$2:$A$300</xm:f>
          </x14:formula1>
          <xm:sqref>F36:F38 F40 F22:F27 F29:F34 F3 F5:F9 F11:F20</xm:sqref>
        </x14:dataValidation>
        <x14:dataValidation type="list" allowBlank="1" showInputMessage="1" showErrorMessage="1" xr:uid="{D2BBA351-A621-4D00-866A-CB8406E08686}">
          <x14:formula1>
            <xm:f>Listor!$A$2:$A$150</xm:f>
          </x14:formula1>
          <xm:sqref>E36:E38 E40 E29:E34 E22:E27 E3 E5:E9 E11:E20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334B-AD09-4DF7-8E10-D7DB15993C59}">
  <sheetPr codeName="Blad41"/>
  <dimension ref="A1:Y43"/>
  <sheetViews>
    <sheetView showGridLines="0" zoomScaleNormal="100" workbookViewId="0">
      <pane ySplit="2" topLeftCell="A3" activePane="bottomLeft" state="frozen"/>
      <selection activeCell="F22" sqref="F22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11.441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Måndag40</f>
        <v>45929</v>
      </c>
      <c r="W1" s="33">
        <f>Söndag40</f>
        <v>45935</v>
      </c>
      <c r="X1" s="34">
        <f>WEEKNUM(Söndag40, 2)</f>
        <v>40</v>
      </c>
      <c r="Y1" s="35" t="str">
        <f>"V. "&amp;X1&amp;", "&amp;TEXT(V1,"D MMM")&amp;"-"&amp;TEXT(W1,"D MMM")</f>
        <v>V. 40, 29 sep-5 okt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Måndag40</f>
        <v>45929</v>
      </c>
      <c r="C3" s="40">
        <v>0.45833333333333331</v>
      </c>
      <c r="D3" s="41">
        <v>0.5</v>
      </c>
      <c r="E3" s="42" t="s">
        <v>72</v>
      </c>
      <c r="F3" s="43" t="s">
        <v>521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193"/>
      <c r="B4" s="194"/>
      <c r="C4" s="40">
        <v>0.70833333333333337</v>
      </c>
      <c r="D4" s="41">
        <v>0.83333333333333337</v>
      </c>
      <c r="E4" s="42"/>
      <c r="F4" s="43" t="s">
        <v>873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193"/>
      <c r="B5" s="194"/>
      <c r="C5" s="40">
        <v>0.39583333333333331</v>
      </c>
      <c r="D5" s="41">
        <v>0.47916666666666669</v>
      </c>
      <c r="E5" s="42" t="s">
        <v>72</v>
      </c>
      <c r="F5" s="43" t="s">
        <v>289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193" t="s">
        <v>0</v>
      </c>
      <c r="B6" s="195" t="s">
        <v>1</v>
      </c>
      <c r="C6" s="44" t="s">
        <v>824</v>
      </c>
      <c r="D6" s="45" t="s">
        <v>2</v>
      </c>
      <c r="E6" s="46" t="s">
        <v>3</v>
      </c>
      <c r="F6" s="47" t="s">
        <v>4</v>
      </c>
    </row>
    <row r="7" spans="1:25" ht="15" customHeight="1" x14ac:dyDescent="0.3">
      <c r="A7" s="193" t="str">
        <f t="shared" ref="A7" si="2">PROPER(TEXT(B7, "dddd"))</f>
        <v>Tisdag</v>
      </c>
      <c r="B7" s="195">
        <f t="shared" ref="B7" si="3">Tisdag40</f>
        <v>45930</v>
      </c>
      <c r="C7" s="40">
        <v>0.375</v>
      </c>
      <c r="D7" s="48">
        <v>0.4375</v>
      </c>
      <c r="E7" s="49">
        <v>33</v>
      </c>
      <c r="F7" s="50" t="s">
        <v>507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193"/>
      <c r="B8" s="195"/>
      <c r="C8" s="40">
        <v>0.5625</v>
      </c>
      <c r="D8" s="48">
        <v>0.64583333333333337</v>
      </c>
      <c r="E8" s="49"/>
      <c r="F8" s="50" t="s">
        <v>587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193"/>
      <c r="B9" s="195"/>
      <c r="C9" s="40">
        <v>0.58333333333333337</v>
      </c>
      <c r="D9" s="41">
        <v>0.625</v>
      </c>
      <c r="E9" s="42" t="s">
        <v>77</v>
      </c>
      <c r="F9" s="43" t="s">
        <v>521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0.70833333333333337</v>
      </c>
      <c r="D10" s="48">
        <v>0.83333333333333337</v>
      </c>
      <c r="E10" s="49"/>
      <c r="F10" s="50" t="s">
        <v>873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hidden="1" customHeight="1" x14ac:dyDescent="0.3">
      <c r="A11" s="193" t="s">
        <v>0</v>
      </c>
      <c r="B11" s="195" t="s">
        <v>1</v>
      </c>
      <c r="C11" s="44" t="s">
        <v>824</v>
      </c>
      <c r="D11" s="45" t="s">
        <v>2</v>
      </c>
      <c r="E11" s="46" t="s">
        <v>3</v>
      </c>
      <c r="F11" s="47" t="s">
        <v>4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 t="str">
        <f t="shared" ref="A12" si="4">PROPER(TEXT(B12, "dddd"))</f>
        <v>Onsdag</v>
      </c>
      <c r="B12" s="195">
        <f t="shared" ref="B12" si="5">Onsdag40</f>
        <v>45931</v>
      </c>
      <c r="C12" s="40">
        <v>0.35416666666666669</v>
      </c>
      <c r="D12" s="48">
        <v>0.39583333333333331</v>
      </c>
      <c r="E12" s="49" t="s">
        <v>77</v>
      </c>
      <c r="F12" s="50" t="s">
        <v>521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0.35416666666666669</v>
      </c>
      <c r="D13" s="48">
        <v>0.3888888888888889</v>
      </c>
      <c r="E13" s="49">
        <v>50</v>
      </c>
      <c r="F13" s="50" t="s">
        <v>453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/>
      <c r="B14" s="195"/>
      <c r="C14" s="40">
        <v>0.375</v>
      </c>
      <c r="D14" s="48">
        <v>0.45833333333333331</v>
      </c>
      <c r="E14" s="49"/>
      <c r="F14" s="50" t="s">
        <v>737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s="10" customFormat="1" ht="15" customHeight="1" x14ac:dyDescent="0.3">
      <c r="A15" s="193"/>
      <c r="B15" s="195"/>
      <c r="C15" s="40">
        <v>0.41666666666666669</v>
      </c>
      <c r="D15" s="48">
        <v>0.5</v>
      </c>
      <c r="E15" s="49"/>
      <c r="F15" s="50" t="s">
        <v>643</v>
      </c>
    </row>
    <row r="16" spans="1:25" ht="15" customHeight="1" x14ac:dyDescent="0.3">
      <c r="A16" s="193"/>
      <c r="B16" s="195"/>
      <c r="C16" s="40">
        <v>0.4375</v>
      </c>
      <c r="D16" s="48">
        <v>0.47916666666666669</v>
      </c>
      <c r="E16" s="49" t="s">
        <v>77</v>
      </c>
      <c r="F16" s="50" t="s">
        <v>521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0.55555555555555558</v>
      </c>
      <c r="D17" s="48">
        <v>0.63888888888888884</v>
      </c>
      <c r="E17" s="49"/>
      <c r="F17" s="50" t="s">
        <v>28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/>
      <c r="B18" s="195"/>
      <c r="C18" s="40">
        <v>0.55555555555555558</v>
      </c>
      <c r="D18" s="48">
        <v>0.63888888888888884</v>
      </c>
      <c r="E18" s="49"/>
      <c r="F18" s="50" t="s">
        <v>776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/>
      <c r="B19" s="195"/>
      <c r="C19" s="40">
        <v>0.60416666666666663</v>
      </c>
      <c r="D19" s="48">
        <v>0.64583333333333337</v>
      </c>
      <c r="E19" s="49" t="s">
        <v>72</v>
      </c>
      <c r="F19" s="50" t="s">
        <v>521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/>
      <c r="B20" s="195"/>
      <c r="C20" s="40">
        <v>0.70833333333333337</v>
      </c>
      <c r="D20" s="48">
        <v>0.83333333333333337</v>
      </c>
      <c r="E20" s="49"/>
      <c r="F20" s="50" t="s">
        <v>873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s="10" customFormat="1" ht="15" hidden="1" customHeight="1" x14ac:dyDescent="0.3">
      <c r="A21" s="193" t="s">
        <v>0</v>
      </c>
      <c r="B21" s="195" t="s">
        <v>1</v>
      </c>
      <c r="C21" s="44" t="s">
        <v>824</v>
      </c>
      <c r="D21" s="45" t="s">
        <v>2</v>
      </c>
      <c r="E21" s="46" t="s">
        <v>3</v>
      </c>
      <c r="F21" s="47" t="s">
        <v>4</v>
      </c>
    </row>
    <row r="22" spans="1:24" ht="15" customHeight="1" x14ac:dyDescent="0.3">
      <c r="A22" s="193" t="str">
        <f t="shared" ref="A22" si="6">PROPER(TEXT(B22, "dddd"))</f>
        <v>Torsdag</v>
      </c>
      <c r="B22" s="195">
        <f t="shared" ref="B22" si="7">Torsdag40</f>
        <v>45932</v>
      </c>
      <c r="C22" s="40">
        <v>0.35416666666666669</v>
      </c>
      <c r="D22" s="48">
        <v>0.39583333333333331</v>
      </c>
      <c r="E22" s="49" t="s">
        <v>117</v>
      </c>
      <c r="F22" s="50" t="s">
        <v>453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193"/>
      <c r="B23" s="195"/>
      <c r="C23" s="40">
        <v>0.375</v>
      </c>
      <c r="D23" s="48">
        <v>0.4375</v>
      </c>
      <c r="E23" s="49" t="s">
        <v>72</v>
      </c>
      <c r="F23" s="50" t="s">
        <v>507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193"/>
      <c r="B24" s="195"/>
      <c r="C24" s="40">
        <v>0.41666666666666669</v>
      </c>
      <c r="D24" s="48">
        <v>0.5</v>
      </c>
      <c r="E24" s="49"/>
      <c r="F24" s="50" t="s">
        <v>238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/>
      <c r="B25" s="195"/>
      <c r="C25" s="40">
        <v>0.45833333333333331</v>
      </c>
      <c r="D25" s="48">
        <v>0.5</v>
      </c>
      <c r="E25" s="49" t="s">
        <v>72</v>
      </c>
      <c r="F25" s="50" t="s">
        <v>521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/>
      <c r="B26" s="195"/>
      <c r="C26" s="40">
        <v>0.5625</v>
      </c>
      <c r="D26" s="41">
        <v>0.64583333333333337</v>
      </c>
      <c r="E26" s="42"/>
      <c r="F26" s="43" t="s">
        <v>218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193"/>
      <c r="B27" s="195"/>
      <c r="C27" s="40">
        <v>0.70833333333333337</v>
      </c>
      <c r="D27" s="48">
        <v>0.83333333333333337</v>
      </c>
      <c r="E27" s="49"/>
      <c r="F27" s="50" t="s">
        <v>873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hidden="1" customHeight="1" x14ac:dyDescent="0.3">
      <c r="A28" s="193" t="s">
        <v>0</v>
      </c>
      <c r="B28" s="195" t="s">
        <v>1</v>
      </c>
      <c r="C28" s="44" t="s">
        <v>824</v>
      </c>
      <c r="D28" s="45" t="s">
        <v>2</v>
      </c>
      <c r="E28" s="46" t="s">
        <v>3</v>
      </c>
      <c r="F28" s="47" t="s">
        <v>4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193" t="str">
        <f t="shared" ref="A29" si="8">PROPER(TEXT(B29, "dddd"))</f>
        <v>Fredag</v>
      </c>
      <c r="B29" s="195">
        <f t="shared" ref="B29" si="9">Fredag40</f>
        <v>45933</v>
      </c>
      <c r="C29" s="40">
        <v>0.35416666666666669</v>
      </c>
      <c r="D29" s="48">
        <v>0.39583333333333331</v>
      </c>
      <c r="E29" s="49" t="s">
        <v>117</v>
      </c>
      <c r="F29" s="50" t="s">
        <v>453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193"/>
      <c r="B30" s="195"/>
      <c r="C30" s="40">
        <v>0.375</v>
      </c>
      <c r="D30" s="48">
        <v>0.44791666666666669</v>
      </c>
      <c r="E30" s="49"/>
      <c r="F30" s="50" t="s">
        <v>508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193"/>
      <c r="B31" s="195"/>
      <c r="C31" s="40">
        <v>0.41666666666666669</v>
      </c>
      <c r="D31" s="48">
        <v>0.5</v>
      </c>
      <c r="E31" s="49"/>
      <c r="F31" s="50" t="s">
        <v>629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193"/>
      <c r="B32" s="195"/>
      <c r="C32" s="40">
        <v>0.44791666666666669</v>
      </c>
      <c r="D32" s="48">
        <v>0.51041666666666663</v>
      </c>
      <c r="E32" s="49">
        <v>13</v>
      </c>
      <c r="F32" s="50" t="s">
        <v>507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193"/>
      <c r="B33" s="195"/>
      <c r="C33" s="40">
        <v>0.45833333333333331</v>
      </c>
      <c r="D33" s="48">
        <v>0.54166666666666663</v>
      </c>
      <c r="E33" s="49"/>
      <c r="F33" s="50" t="s">
        <v>800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s="10" customFormat="1" ht="15" customHeight="1" x14ac:dyDescent="0.3">
      <c r="A34" s="193"/>
      <c r="B34" s="195"/>
      <c r="C34" s="40">
        <v>0.5</v>
      </c>
      <c r="D34" s="41">
        <v>0.95833333333333337</v>
      </c>
      <c r="E34" s="42" t="s">
        <v>117</v>
      </c>
      <c r="F34" s="43" t="s">
        <v>647</v>
      </c>
    </row>
    <row r="35" spans="1:24" ht="15" customHeight="1" x14ac:dyDescent="0.3">
      <c r="A35" s="193"/>
      <c r="B35" s="195"/>
      <c r="C35" s="40">
        <v>0.70833333333333337</v>
      </c>
      <c r="D35" s="41">
        <v>0.83333333333333337</v>
      </c>
      <c r="E35" s="42"/>
      <c r="F35" s="43" t="s">
        <v>873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hidden="1" customHeight="1" x14ac:dyDescent="0.3">
      <c r="A36" s="193" t="s">
        <v>0</v>
      </c>
      <c r="B36" s="195" t="s">
        <v>1</v>
      </c>
      <c r="C36" s="44" t="s">
        <v>824</v>
      </c>
      <c r="D36" s="45" t="s">
        <v>2</v>
      </c>
      <c r="E36" s="46" t="s">
        <v>3</v>
      </c>
      <c r="F36" s="47" t="s">
        <v>4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193" t="str">
        <f t="shared" ref="A37" si="10">PROPER(TEXT(B37, "dddd"))</f>
        <v>Lördag</v>
      </c>
      <c r="B37" s="195">
        <f t="shared" ref="B37" si="11">Lördag40</f>
        <v>45934</v>
      </c>
      <c r="C37" s="40" t="s">
        <v>814</v>
      </c>
      <c r="D37" s="48"/>
      <c r="E37" s="49" t="s">
        <v>117</v>
      </c>
      <c r="F37" s="50" t="s">
        <v>647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8" spans="1:24" ht="15" hidden="1" customHeight="1" x14ac:dyDescent="0.3">
      <c r="A38" s="193" t="s">
        <v>0</v>
      </c>
      <c r="B38" s="195" t="s">
        <v>1</v>
      </c>
      <c r="C38" s="44" t="s">
        <v>824</v>
      </c>
      <c r="D38" s="45" t="s">
        <v>2</v>
      </c>
      <c r="E38" s="46" t="s">
        <v>3</v>
      </c>
      <c r="F38" s="47" t="s">
        <v>4</v>
      </c>
      <c r="G38"/>
      <c r="H38" s="1"/>
      <c r="I38" s="1"/>
      <c r="L38"/>
      <c r="M38"/>
      <c r="N38"/>
      <c r="O38"/>
      <c r="P38"/>
      <c r="Q38"/>
      <c r="R38"/>
      <c r="S38"/>
      <c r="T38"/>
      <c r="V38"/>
      <c r="W38"/>
      <c r="X38"/>
    </row>
    <row r="39" spans="1:24" ht="15" customHeight="1" x14ac:dyDescent="0.3">
      <c r="A39" s="193" t="str">
        <f t="shared" ref="A39" si="12">PROPER(TEXT(B39, "dddd"))</f>
        <v>Söndag</v>
      </c>
      <c r="B39" s="195">
        <f t="shared" ref="B39" si="13">Söndag40</f>
        <v>45935</v>
      </c>
      <c r="C39" s="40" t="s">
        <v>814</v>
      </c>
      <c r="D39" s="48"/>
      <c r="E39" s="49" t="s">
        <v>117</v>
      </c>
      <c r="F39" s="50" t="s">
        <v>647</v>
      </c>
      <c r="G39"/>
      <c r="H39" s="1"/>
      <c r="I39" s="1"/>
      <c r="L39"/>
      <c r="M39"/>
      <c r="N39"/>
      <c r="O39"/>
      <c r="P39"/>
      <c r="Q39"/>
      <c r="R39"/>
      <c r="S39"/>
      <c r="T39"/>
      <c r="V39"/>
      <c r="W39"/>
      <c r="X39"/>
    </row>
    <row r="41" spans="1:24" ht="15" customHeight="1" x14ac:dyDescent="0.3">
      <c r="C41" s="40"/>
      <c r="D41" s="41"/>
    </row>
    <row r="42" spans="1:24" ht="15" customHeight="1" x14ac:dyDescent="0.3">
      <c r="C42" s="40"/>
      <c r="D42" s="8"/>
    </row>
    <row r="43" spans="1:24" ht="15" customHeight="1" x14ac:dyDescent="0.3">
      <c r="C43" s="40"/>
      <c r="D43" s="8"/>
    </row>
  </sheetData>
  <sheetProtection algorithmName="SHA-512" hashValue="AwxqR0xekKcIKGtSIsJNH4fq4RUUo2C8crGhbE+8GNFbGr+DcoXIbkfO4GQYwbBACnJZRuyQUdeI5OeTP78XfA==" saltValue="24mco4sqkSCQ0c3Egh0TXw==" spinCount="100000" sheet="1" objects="1" scenarios="1" autoFilter="0" pivotTables="0"/>
  <sortState xmlns:xlrd2="http://schemas.microsoft.com/office/spreadsheetml/2017/richdata2" ref="A29:F35">
    <sortCondition ref="C29:C35"/>
  </sortState>
  <conditionalFormatting sqref="A37 A39 A22:A27 A29:A35 A12:A20 A4:A5 A9:A10">
    <cfRule type="cellIs" dxfId="338" priority="21" operator="equal">
      <formula>"Datum"</formula>
    </cfRule>
    <cfRule type="cellIs" dxfId="337" priority="22" operator="equal">
      <formula>"Dag"</formula>
    </cfRule>
    <cfRule type="expression" dxfId="336" priority="24">
      <formula>OR(IF($A3="Dag",1))</formula>
    </cfRule>
  </conditionalFormatting>
  <conditionalFormatting sqref="A38">
    <cfRule type="expression" dxfId="335" priority="42">
      <formula>OR(IF(#REF!="Dag",1))</formula>
    </cfRule>
  </conditionalFormatting>
  <conditionalFormatting sqref="A1:B2 A6:B6 A11:B11 A21:B21 A28:B28 A36:B36 B37 A38:B38 B39 A40:B1048576 B22:B27 B29:B35 B12:B20 B3:B5 B7:B10">
    <cfRule type="cellIs" dxfId="334" priority="34" operator="equal">
      <formula>"Datum"</formula>
    </cfRule>
    <cfRule type="cellIs" dxfId="333" priority="35" operator="equal">
      <formula>"Dag"</formula>
    </cfRule>
  </conditionalFormatting>
  <conditionalFormatting sqref="B22:B27 B29:B35 B12:B20 B4:B5 B9:B10 B37 B39">
    <cfRule type="expression" dxfId="332" priority="41">
      <formula>OR(IF($B3="Datum",1))</formula>
    </cfRule>
  </conditionalFormatting>
  <conditionalFormatting sqref="C31:E33 C24:E25 C23:D23 C4:E8 C10:E22 C27:E29 C36:E39">
    <cfRule type="expression" dxfId="331" priority="38">
      <formula>OR(IF($E4="Hela hallen",1))</formula>
    </cfRule>
  </conditionalFormatting>
  <conditionalFormatting sqref="L1:T1048576">
    <cfRule type="cellIs" dxfId="330" priority="33" operator="equal">
      <formula>"-"</formula>
    </cfRule>
  </conditionalFormatting>
  <conditionalFormatting sqref="A28">
    <cfRule type="expression" dxfId="329" priority="1187">
      <formula>OR(IF($A27="Dag",1))</formula>
    </cfRule>
  </conditionalFormatting>
  <conditionalFormatting sqref="B28">
    <cfRule type="expression" dxfId="328" priority="1191">
      <formula>OR(IF($B27="Datum",1))</formula>
    </cfRule>
  </conditionalFormatting>
  <conditionalFormatting sqref="C3:E3">
    <cfRule type="expression" dxfId="327" priority="19">
      <formula>OR(IF($E3="Hela hallen",1))</formula>
    </cfRule>
  </conditionalFormatting>
  <conditionalFormatting sqref="C9:E9">
    <cfRule type="expression" dxfId="326" priority="17">
      <formula>OR(IF($E9="Hela hallen",1))</formula>
    </cfRule>
  </conditionalFormatting>
  <conditionalFormatting sqref="C26:E26">
    <cfRule type="expression" dxfId="325" priority="15">
      <formula>OR(IF($E26="Hela hallen",1))</formula>
    </cfRule>
  </conditionalFormatting>
  <conditionalFormatting sqref="C34:E34">
    <cfRule type="expression" dxfId="324" priority="13">
      <formula>OR(IF($E34="Hela hallen",1))</formula>
    </cfRule>
  </conditionalFormatting>
  <conditionalFormatting sqref="C35:E35">
    <cfRule type="expression" dxfId="323" priority="11">
      <formula>OR(IF($E35="Hela hallen",1))</formula>
    </cfRule>
  </conditionalFormatting>
  <conditionalFormatting sqref="A21">
    <cfRule type="expression" dxfId="322" priority="1793">
      <formula>OR(IF($A17="Dag",1))</formula>
    </cfRule>
  </conditionalFormatting>
  <conditionalFormatting sqref="B21">
    <cfRule type="expression" dxfId="321" priority="1794">
      <formula>OR(IF($B17="Datum",1))</formula>
    </cfRule>
  </conditionalFormatting>
  <conditionalFormatting sqref="A11">
    <cfRule type="expression" dxfId="320" priority="2203">
      <formula>OR(IF($A10="Dag",1))</formula>
    </cfRule>
  </conditionalFormatting>
  <conditionalFormatting sqref="B11">
    <cfRule type="expression" dxfId="319" priority="2204">
      <formula>OR(IF($B10="Datum",1))</formula>
    </cfRule>
  </conditionalFormatting>
  <conditionalFormatting sqref="C30:E30">
    <cfRule type="expression" dxfId="318" priority="7">
      <formula>OR(IF($E30="Hela hallen",1))</formula>
    </cfRule>
  </conditionalFormatting>
  <conditionalFormatting sqref="A36">
    <cfRule type="expression" dxfId="317" priority="2445">
      <formula>OR(IF($A34="Dag",1))</formula>
    </cfRule>
  </conditionalFormatting>
  <conditionalFormatting sqref="B36">
    <cfRule type="expression" dxfId="316" priority="2446">
      <formula>OR(IF($B34="Datum",1))</formula>
    </cfRule>
  </conditionalFormatting>
  <conditionalFormatting sqref="E23">
    <cfRule type="expression" dxfId="315" priority="3">
      <formula>OR(IF($E23="Hela hallen",1))</formula>
    </cfRule>
  </conditionalFormatting>
  <conditionalFormatting sqref="A3 A7:A8">
    <cfRule type="cellIs" dxfId="313" priority="3292" operator="equal">
      <formula>"Datum"</formula>
    </cfRule>
    <cfRule type="cellIs" dxfId="312" priority="3293" operator="equal">
      <formula>"Dag"</formula>
    </cfRule>
    <cfRule type="expression" dxfId="311" priority="3294">
      <formula>OR(IF(#REF!="Dag",1))</formula>
    </cfRule>
  </conditionalFormatting>
  <conditionalFormatting sqref="B3 B6:B8 B38">
    <cfRule type="expression" dxfId="310" priority="3300">
      <formula>OR(IF(#REF!="Datum",1))</formula>
    </cfRule>
  </conditionalFormatting>
  <conditionalFormatting sqref="C3:F39">
    <cfRule type="expression" dxfId="308" priority="3306">
      <formula>OR(IF(#REF!=TRUE,1))</formula>
    </cfRule>
  </conditionalFormatting>
  <conditionalFormatting sqref="A6">
    <cfRule type="expression" dxfId="307" priority="3307">
      <formula>OR(IF(#REF!="Dag",1))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4E06139F-B512-4BCE-BF89-F4445205D92E}">
            <xm:f>AND(IF(ISERROR(MATCH($B4,Kalenderår!$A$3:$A$17,0)),FALSE,TRUE), IF($B3="Datum",TRUE,FALSE), IF($A3="Dag",TRUE,FALSE))</xm:f>
            <x14:dxf>
              <font>
                <color rgb="FFC00000"/>
              </font>
            </x14:dxf>
          </x14:cfRule>
          <xm:sqref>A4:B5 A9:B20 A22:B35 A37:B37 A39:B39</xm:sqref>
        </x14:conditionalFormatting>
        <x14:conditionalFormatting xmlns:xm="http://schemas.microsoft.com/office/excel/2006/main">
          <x14:cfRule type="expression" priority="3305" id="{4E06139F-B512-4BCE-BF89-F4445205D92E}">
            <xm:f>AND(IF(ISERROR(MATCH($B3,Kalenderår!$A$3:$A$17,0)),FALSE,TRUE), IF(#REF!="Datum",TRUE,FALSE), IF(#REF!="Dag",TRUE,FALSE))</xm:f>
            <x14:dxf>
              <font>
                <color rgb="FFC00000"/>
              </font>
            </x14:dxf>
          </x14:cfRule>
          <xm:sqref>A3:B3 A6:B8 A38:B38</xm:sqref>
        </x14:conditionalFormatting>
        <x14:conditionalFormatting xmlns:xm="http://schemas.microsoft.com/office/excel/2006/main">
          <x14:cfRule type="expression" priority="3315" id="{514C5F46-C359-44EC-9275-174398BD0924}">
            <xm:f>AND(IF(ISERROR(MATCH($B21,Kalenderår!$A$3:$A$17,0)),FALSE,TRUE), IF($B17="Datum",TRUE,FALSE), IF($A17="Dag",TRUE,FALSE))</xm:f>
            <x14:dxf>
              <font>
                <color rgb="FFC00000"/>
              </font>
            </x14:dxf>
          </x14:cfRule>
          <xm:sqref>A21:B21</xm:sqref>
        </x14:conditionalFormatting>
        <x14:conditionalFormatting xmlns:xm="http://schemas.microsoft.com/office/excel/2006/main">
          <x14:cfRule type="expression" priority="3321" id="{514C5F46-C359-44EC-9275-174398BD0924}">
            <xm:f>AND(IF(ISERROR(MATCH($B36,Kalenderår!$A$3:$A$17,0)),FALSE,TRUE), IF($B34="Datum",TRUE,FALSE), IF($A34="Dag",TRUE,FALSE))</xm:f>
            <x14:dxf>
              <font>
                <color rgb="FFC00000"/>
              </font>
            </x14:dxf>
          </x14:cfRule>
          <xm:sqref>A36:B36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39E639-472F-4361-9F96-198D34EC5671}">
          <x14:formula1>
            <xm:f>Listor!$A$2:$A$150</xm:f>
          </x14:formula1>
          <xm:sqref>E37 E39 E29:E35 E22:E27 E12:E20 E3:E5 E7:E10</xm:sqref>
        </x14:dataValidation>
        <x14:dataValidation type="list" allowBlank="1" showInputMessage="1" showErrorMessage="1" xr:uid="{1280F0DE-B7A7-4E17-AF26-07147E8C2FA9}">
          <x14:formula1>
            <xm:f>Kontaktuppgifter!$A$2:$A$300</xm:f>
          </x14:formula1>
          <xm:sqref>F37 F39 F22:F27 F29:F35 F12:F20 F3:F5 F7:F10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0838-F27E-40C5-9DB2-9D9D5DB54950}">
  <sheetPr codeName="Blad42"/>
  <dimension ref="A1:Y44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80.332031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Måndag41</f>
        <v>45936</v>
      </c>
      <c r="W1" s="33">
        <f>Söndag41</f>
        <v>45942</v>
      </c>
      <c r="X1" s="34">
        <f>WEEKNUM(Söndag41, 2)</f>
        <v>41</v>
      </c>
      <c r="Y1" s="35" t="str">
        <f>"V. "&amp;X1&amp;", "&amp;TEXT(V1,"D MMM")&amp;"-"&amp;TEXT(W1,"D MMM")</f>
        <v>V. 41, 6 okt-12 okt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Måndag41</f>
        <v>45936</v>
      </c>
      <c r="C3" s="40">
        <v>6.9444444444444447E-4</v>
      </c>
      <c r="D3" s="41">
        <v>0.41666666666666669</v>
      </c>
      <c r="E3" s="42" t="s">
        <v>117</v>
      </c>
      <c r="F3" s="43" t="s">
        <v>647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193"/>
      <c r="B4" s="194"/>
      <c r="C4" s="40">
        <v>0.70833333333333337</v>
      </c>
      <c r="D4" s="41">
        <v>0.83333333333333337</v>
      </c>
      <c r="E4" s="42"/>
      <c r="F4" s="43" t="s">
        <v>873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s="10" customFormat="1" ht="20.100000000000001" hidden="1" customHeight="1" x14ac:dyDescent="0.3">
      <c r="A5" s="193" t="s">
        <v>0</v>
      </c>
      <c r="B5" s="195" t="s">
        <v>1</v>
      </c>
      <c r="C5" s="44" t="s">
        <v>824</v>
      </c>
      <c r="D5" s="45" t="s">
        <v>2</v>
      </c>
      <c r="E5" s="46" t="s">
        <v>3</v>
      </c>
      <c r="F5" s="47" t="s">
        <v>4</v>
      </c>
    </row>
    <row r="6" spans="1:25" ht="15" customHeight="1" x14ac:dyDescent="0.3">
      <c r="A6" s="193" t="str">
        <f t="shared" ref="A6" si="2">PROPER(TEXT(B6, "dddd"))</f>
        <v>Tisdag</v>
      </c>
      <c r="B6" s="195">
        <f t="shared" ref="B6" si="3">Tisdag41</f>
        <v>45937</v>
      </c>
      <c r="C6" s="40">
        <v>0.375</v>
      </c>
      <c r="D6" s="48">
        <v>0.4375</v>
      </c>
      <c r="E6" s="49">
        <v>33</v>
      </c>
      <c r="F6" s="50" t="s">
        <v>507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/>
      <c r="B7" s="195"/>
      <c r="C7" s="40">
        <v>0.54166666666666663</v>
      </c>
      <c r="D7" s="48">
        <v>0.58333333333333337</v>
      </c>
      <c r="E7" s="49" t="s">
        <v>82</v>
      </c>
      <c r="F7" s="50" t="s">
        <v>529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193"/>
      <c r="B8" s="195"/>
      <c r="C8" s="40">
        <v>0.5625</v>
      </c>
      <c r="D8" s="48">
        <v>0.64583333333333337</v>
      </c>
      <c r="E8" s="49"/>
      <c r="F8" s="50" t="s">
        <v>587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193"/>
      <c r="B9" s="195"/>
      <c r="C9" s="40">
        <v>0.59375</v>
      </c>
      <c r="D9" s="41">
        <v>0.63541666666666663</v>
      </c>
      <c r="E9" s="42" t="s">
        <v>75</v>
      </c>
      <c r="F9" s="43" t="s">
        <v>529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0.70833333333333337</v>
      </c>
      <c r="D10" s="48">
        <v>0.83333333333333337</v>
      </c>
      <c r="E10" s="49"/>
      <c r="F10" s="50" t="s">
        <v>873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hidden="1" customHeight="1" x14ac:dyDescent="0.3">
      <c r="A11" s="193" t="s">
        <v>0</v>
      </c>
      <c r="B11" s="195" t="s">
        <v>1</v>
      </c>
      <c r="C11" s="44" t="s">
        <v>824</v>
      </c>
      <c r="D11" s="45" t="s">
        <v>2</v>
      </c>
      <c r="E11" s="46" t="s">
        <v>3</v>
      </c>
      <c r="F11" s="47" t="s">
        <v>4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 t="str">
        <f t="shared" ref="A12" si="4">PROPER(TEXT(B12, "dddd"))</f>
        <v>Onsdag</v>
      </c>
      <c r="B12" s="195">
        <f t="shared" ref="B12" si="5">Onsdag41</f>
        <v>45938</v>
      </c>
      <c r="C12" s="40">
        <v>0.35416666666666669</v>
      </c>
      <c r="D12" s="48">
        <v>0.39583333333333331</v>
      </c>
      <c r="E12" s="49" t="s">
        <v>77</v>
      </c>
      <c r="F12" s="50" t="s">
        <v>521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0.35416666666666669</v>
      </c>
      <c r="D13" s="48">
        <v>0.3888888888888889</v>
      </c>
      <c r="E13" s="49">
        <v>50</v>
      </c>
      <c r="F13" s="50" t="s">
        <v>453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/>
      <c r="B14" s="195"/>
      <c r="C14" s="40">
        <v>0.375</v>
      </c>
      <c r="D14" s="48">
        <v>0.45833333333333331</v>
      </c>
      <c r="E14" s="49"/>
      <c r="F14" s="50" t="s">
        <v>737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s="10" customFormat="1" ht="15" customHeight="1" x14ac:dyDescent="0.3">
      <c r="A15" s="193"/>
      <c r="B15" s="195"/>
      <c r="C15" s="40">
        <v>0.41666666666666669</v>
      </c>
      <c r="D15" s="48">
        <v>0.5</v>
      </c>
      <c r="E15" s="49"/>
      <c r="F15" s="50" t="s">
        <v>643</v>
      </c>
    </row>
    <row r="16" spans="1:25" ht="15" customHeight="1" x14ac:dyDescent="0.3">
      <c r="A16" s="193"/>
      <c r="B16" s="195"/>
      <c r="C16" s="40">
        <v>0.54166666666666663</v>
      </c>
      <c r="D16" s="48">
        <v>0.60416666666666663</v>
      </c>
      <c r="E16" s="49">
        <v>50</v>
      </c>
      <c r="F16" s="50" t="s">
        <v>500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0.55555555555555558</v>
      </c>
      <c r="D17" s="48">
        <v>0.63888888888888884</v>
      </c>
      <c r="E17" s="49"/>
      <c r="F17" s="50" t="s">
        <v>28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/>
      <c r="B18" s="195"/>
      <c r="C18" s="40">
        <v>0.55555555555555558</v>
      </c>
      <c r="D18" s="48">
        <v>0.63888888888888884</v>
      </c>
      <c r="E18" s="49"/>
      <c r="F18" s="50" t="s">
        <v>776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/>
      <c r="B19" s="195"/>
      <c r="C19" s="40">
        <v>0.70833333333333337</v>
      </c>
      <c r="D19" s="48">
        <v>0.83333333333333337</v>
      </c>
      <c r="E19" s="49"/>
      <c r="F19" s="50" t="s">
        <v>873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hidden="1" customHeight="1" x14ac:dyDescent="0.3">
      <c r="A20" s="193" t="s">
        <v>0</v>
      </c>
      <c r="B20" s="195" t="s">
        <v>1</v>
      </c>
      <c r="C20" s="44" t="s">
        <v>824</v>
      </c>
      <c r="D20" s="45" t="s">
        <v>2</v>
      </c>
      <c r="E20" s="46" t="s">
        <v>3</v>
      </c>
      <c r="F20" s="47" t="s">
        <v>4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s="10" customFormat="1" ht="15" customHeight="1" x14ac:dyDescent="0.3">
      <c r="A21" s="193" t="str">
        <f t="shared" ref="A21" si="6">PROPER(TEXT(B21, "dddd"))</f>
        <v>Torsdag</v>
      </c>
      <c r="B21" s="195">
        <f t="shared" ref="B21" si="7">Torsdag41</f>
        <v>45939</v>
      </c>
      <c r="C21" s="40">
        <v>0.35416666666666669</v>
      </c>
      <c r="D21" s="48">
        <v>0.39583333333333331</v>
      </c>
      <c r="E21" s="49" t="s">
        <v>117</v>
      </c>
      <c r="F21" s="50" t="s">
        <v>453</v>
      </c>
    </row>
    <row r="22" spans="1:24" ht="15" customHeight="1" x14ac:dyDescent="0.3">
      <c r="A22" s="193"/>
      <c r="B22" s="195"/>
      <c r="C22" s="40">
        <v>0.375</v>
      </c>
      <c r="D22" s="48">
        <v>0.4375</v>
      </c>
      <c r="E22" s="49" t="s">
        <v>72</v>
      </c>
      <c r="F22" s="50" t="s">
        <v>507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193"/>
      <c r="B23" s="195"/>
      <c r="C23" s="40">
        <v>0.41666666666666669</v>
      </c>
      <c r="D23" s="48">
        <v>0.5</v>
      </c>
      <c r="E23" s="49"/>
      <c r="F23" s="50" t="s">
        <v>238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193"/>
      <c r="B24" s="195"/>
      <c r="C24" s="40">
        <v>0.5625</v>
      </c>
      <c r="D24" s="48">
        <v>0.64583333333333337</v>
      </c>
      <c r="E24" s="49"/>
      <c r="F24" s="50" t="s">
        <v>218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/>
      <c r="B25" s="195"/>
      <c r="C25" s="40">
        <v>0.70833333333333337</v>
      </c>
      <c r="D25" s="41">
        <v>0.83333333333333337</v>
      </c>
      <c r="E25" s="42"/>
      <c r="F25" s="43" t="s">
        <v>873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hidden="1" customHeight="1" x14ac:dyDescent="0.3">
      <c r="A26" s="193" t="s">
        <v>0</v>
      </c>
      <c r="B26" s="195" t="s">
        <v>1</v>
      </c>
      <c r="C26" s="44" t="s">
        <v>824</v>
      </c>
      <c r="D26" s="45" t="s">
        <v>2</v>
      </c>
      <c r="E26" s="46" t="s">
        <v>3</v>
      </c>
      <c r="F26" s="47" t="s">
        <v>4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s="10" customFormat="1" ht="15" customHeight="1" x14ac:dyDescent="0.3">
      <c r="A27" s="193" t="str">
        <f t="shared" ref="A27" si="8">PROPER(TEXT(B27, "dddd"))</f>
        <v>Fredag</v>
      </c>
      <c r="B27" s="195">
        <f t="shared" ref="B27" si="9">Fredag41</f>
        <v>45940</v>
      </c>
      <c r="C27" s="40">
        <v>0.35416666666666669</v>
      </c>
      <c r="D27" s="48">
        <v>0.39583333333333331</v>
      </c>
      <c r="E27" s="49" t="s">
        <v>117</v>
      </c>
      <c r="F27" s="50" t="s">
        <v>453</v>
      </c>
    </row>
    <row r="28" spans="1:24" ht="15" customHeight="1" x14ac:dyDescent="0.3">
      <c r="A28" s="193"/>
      <c r="B28" s="195"/>
      <c r="C28" s="40">
        <v>0.375</v>
      </c>
      <c r="D28" s="48">
        <v>0.44791666666666669</v>
      </c>
      <c r="E28" s="49"/>
      <c r="F28" s="50" t="s">
        <v>508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193"/>
      <c r="B29" s="195"/>
      <c r="C29" s="40">
        <v>0.41666666666666669</v>
      </c>
      <c r="D29" s="48">
        <v>0.5</v>
      </c>
      <c r="E29" s="49"/>
      <c r="F29" s="50" t="s">
        <v>629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193"/>
      <c r="B30" s="195"/>
      <c r="C30" s="40">
        <v>0.44791666666666669</v>
      </c>
      <c r="D30" s="48">
        <v>0.51041666666666663</v>
      </c>
      <c r="E30" s="49">
        <v>13</v>
      </c>
      <c r="F30" s="50" t="s">
        <v>507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193"/>
      <c r="B31" s="195"/>
      <c r="C31" s="40">
        <v>0.45833333333333331</v>
      </c>
      <c r="D31" s="41">
        <v>0.54166666666666663</v>
      </c>
      <c r="E31" s="42"/>
      <c r="F31" s="43" t="s">
        <v>800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193"/>
      <c r="B32" s="195"/>
      <c r="C32" s="40">
        <v>0.70833333333333337</v>
      </c>
      <c r="D32" s="48">
        <v>0.83333333333333337</v>
      </c>
      <c r="E32" s="49"/>
      <c r="F32" s="50" t="s">
        <v>873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193"/>
      <c r="B33" s="195"/>
      <c r="C33" s="40">
        <v>0.70833333333333337</v>
      </c>
      <c r="D33" s="48">
        <v>0</v>
      </c>
      <c r="E33" s="49"/>
      <c r="F33" s="50" t="s">
        <v>801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hidden="1" customHeight="1" x14ac:dyDescent="0.3">
      <c r="A34" s="193" t="s">
        <v>0</v>
      </c>
      <c r="B34" s="195" t="s">
        <v>1</v>
      </c>
      <c r="C34" s="44" t="s">
        <v>824</v>
      </c>
      <c r="D34" s="45" t="s">
        <v>2</v>
      </c>
      <c r="E34" s="46" t="s">
        <v>3</v>
      </c>
      <c r="F34" s="47" t="s">
        <v>4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customHeight="1" x14ac:dyDescent="0.3">
      <c r="A35" s="193" t="str">
        <f t="shared" ref="A35" si="10">PROPER(TEXT(B35, "dddd"))</f>
        <v>Lördag</v>
      </c>
      <c r="B35" s="195">
        <f t="shared" ref="B35" si="11">Lördag41</f>
        <v>45941</v>
      </c>
      <c r="C35" s="40">
        <v>0.375</v>
      </c>
      <c r="D35" s="48">
        <v>0.625</v>
      </c>
      <c r="E35" s="49"/>
      <c r="F35" s="50" t="s">
        <v>873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customHeight="1" x14ac:dyDescent="0.3">
      <c r="A36" s="193"/>
      <c r="B36" s="195"/>
      <c r="C36" s="40">
        <v>0.375</v>
      </c>
      <c r="D36" s="48">
        <v>0.70833333333333337</v>
      </c>
      <c r="E36" s="49"/>
      <c r="F36" s="50" t="s">
        <v>973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193"/>
      <c r="B37" s="195"/>
      <c r="C37" s="40">
        <v>0.625</v>
      </c>
      <c r="D37" s="48">
        <v>0.66666666666666663</v>
      </c>
      <c r="E37" s="49"/>
      <c r="F37" s="50" t="s">
        <v>561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8" spans="1:24" ht="15" customHeight="1" x14ac:dyDescent="0.3">
      <c r="A38" s="193"/>
      <c r="B38" s="195"/>
      <c r="C38" s="40">
        <v>0</v>
      </c>
      <c r="D38" s="48">
        <v>0.5</v>
      </c>
      <c r="E38" s="49"/>
      <c r="F38" s="50" t="s">
        <v>801</v>
      </c>
      <c r="G38"/>
      <c r="H38" s="1"/>
      <c r="I38" s="1"/>
      <c r="L38"/>
      <c r="M38"/>
      <c r="N38"/>
      <c r="O38"/>
      <c r="P38"/>
      <c r="Q38"/>
      <c r="R38"/>
      <c r="S38"/>
      <c r="T38"/>
      <c r="V38"/>
      <c r="W38"/>
      <c r="X38"/>
    </row>
    <row r="39" spans="1:24" ht="15" hidden="1" customHeight="1" x14ac:dyDescent="0.3">
      <c r="A39" s="193" t="s">
        <v>0</v>
      </c>
      <c r="B39" s="195" t="s">
        <v>1</v>
      </c>
      <c r="C39" s="44" t="s">
        <v>824</v>
      </c>
      <c r="D39" s="45" t="s">
        <v>2</v>
      </c>
      <c r="E39" s="46" t="s">
        <v>3</v>
      </c>
      <c r="F39" s="47" t="s">
        <v>4</v>
      </c>
      <c r="G39"/>
      <c r="H39" s="1"/>
      <c r="I39" s="1"/>
      <c r="L39"/>
      <c r="M39"/>
      <c r="N39"/>
      <c r="O39"/>
      <c r="P39"/>
      <c r="Q39"/>
      <c r="R39"/>
      <c r="S39"/>
      <c r="T39"/>
      <c r="V39"/>
      <c r="W39"/>
      <c r="X39"/>
    </row>
    <row r="40" spans="1:24" ht="15" customHeight="1" x14ac:dyDescent="0.3">
      <c r="A40" s="193" t="str">
        <f t="shared" ref="A40" si="12">PROPER(TEXT(B40, "dddd"))</f>
        <v>Söndag</v>
      </c>
      <c r="B40" s="195">
        <f t="shared" ref="B40" si="13">Söndag41</f>
        <v>45942</v>
      </c>
      <c r="C40" s="40">
        <v>0.375</v>
      </c>
      <c r="D40" s="48">
        <v>0.79166666666666663</v>
      </c>
      <c r="E40" s="49"/>
      <c r="F40" s="50" t="s">
        <v>873</v>
      </c>
      <c r="G40"/>
      <c r="H40" s="1"/>
      <c r="I40" s="1"/>
      <c r="L40"/>
      <c r="M40"/>
      <c r="N40"/>
      <c r="O40"/>
      <c r="P40"/>
      <c r="Q40"/>
      <c r="R40"/>
      <c r="S40"/>
      <c r="T40"/>
      <c r="V40"/>
      <c r="W40"/>
      <c r="X40"/>
    </row>
    <row r="42" spans="1:24" ht="15" customHeight="1" x14ac:dyDescent="0.3">
      <c r="C42" s="40"/>
      <c r="D42" s="41"/>
    </row>
    <row r="43" spans="1:24" ht="15" customHeight="1" x14ac:dyDescent="0.3">
      <c r="C43" s="40"/>
      <c r="D43" s="8"/>
    </row>
    <row r="44" spans="1:24" ht="15" customHeight="1" x14ac:dyDescent="0.3">
      <c r="C44" s="40"/>
      <c r="D44" s="8"/>
    </row>
  </sheetData>
  <sheetProtection algorithmName="SHA-512" hashValue="xrvKKuxOAkyE1imC8frBD+2qkDM1HAVD1NWrObfS9g22zVgBF4J6VnXx2ISd6pUIucpN431oNMLJmpjiErhZlA==" saltValue="dD9qCQ/7hZ94hZSf+COtTg==" spinCount="100000" sheet="1" objects="1" scenarios="1" autoFilter="0" pivotTables="0"/>
  <sortState xmlns:xlrd2="http://schemas.microsoft.com/office/spreadsheetml/2017/richdata2" ref="A27:F32">
    <sortCondition ref="C27:C32"/>
  </sortState>
  <conditionalFormatting sqref="A21:A25 A35:A38 A40 A12:A19 A27:A33 A3 A7:A10">
    <cfRule type="cellIs" dxfId="304" priority="16" operator="equal">
      <formula>"Datum"</formula>
    </cfRule>
    <cfRule type="cellIs" dxfId="303" priority="17" operator="equal">
      <formula>"Dag"</formula>
    </cfRule>
    <cfRule type="expression" dxfId="302" priority="19">
      <formula>OR(IF($A2="Dag",1))</formula>
    </cfRule>
  </conditionalFormatting>
  <conditionalFormatting sqref="A39">
    <cfRule type="expression" dxfId="301" priority="37">
      <formula>OR(IF(#REF!="Dag",1))</formula>
    </cfRule>
  </conditionalFormatting>
  <conditionalFormatting sqref="A1:B2 A5:B5 A11:B11 A20:B20 B21:B25 A26:B26 A34:B34 B35:B38 A39:B39 B40 A41:B1048576 B12:B19 B27:B33 B3:B4 B6:B10">
    <cfRule type="cellIs" dxfId="300" priority="29" operator="equal">
      <formula>"Datum"</formula>
    </cfRule>
    <cfRule type="cellIs" dxfId="299" priority="30" operator="equal">
      <formula>"Dag"</formula>
    </cfRule>
  </conditionalFormatting>
  <conditionalFormatting sqref="B12:B19 B3 B7:B10 B21:B25 B27:B33 B35:B38 B40">
    <cfRule type="expression" dxfId="298" priority="36">
      <formula>OR(IF($B2="Datum",1))</formula>
    </cfRule>
  </conditionalFormatting>
  <conditionalFormatting sqref="C8:E8 C29:E30 C23:E24 C22:D22 C3:E3 C5:E6 C10:E21 C26:E27 C32:E40">
    <cfRule type="expression" dxfId="297" priority="33">
      <formula>OR(IF($E3="Hela hallen",1))</formula>
    </cfRule>
  </conditionalFormatting>
  <conditionalFormatting sqref="L1:T1048576">
    <cfRule type="cellIs" dxfId="296" priority="28" operator="equal">
      <formula>"-"</formula>
    </cfRule>
  </conditionalFormatting>
  <conditionalFormatting sqref="A20">
    <cfRule type="expression" dxfId="295" priority="1199">
      <formula>OR(IF($A17="Dag",1))</formula>
    </cfRule>
  </conditionalFormatting>
  <conditionalFormatting sqref="B20">
    <cfRule type="expression" dxfId="294" priority="1203">
      <formula>OR(IF($B17="Datum",1))</formula>
    </cfRule>
  </conditionalFormatting>
  <conditionalFormatting sqref="C4:E4">
    <cfRule type="expression" dxfId="293" priority="14">
      <formula>OR(IF($E4="Hela hallen",1))</formula>
    </cfRule>
  </conditionalFormatting>
  <conditionalFormatting sqref="C9:E9">
    <cfRule type="expression" dxfId="292" priority="12">
      <formula>OR(IF($E9="Hela hallen",1))</formula>
    </cfRule>
  </conditionalFormatting>
  <conditionalFormatting sqref="C25:E25">
    <cfRule type="expression" dxfId="291" priority="10">
      <formula>OR(IF($E25="Hela hallen",1))</formula>
    </cfRule>
  </conditionalFormatting>
  <conditionalFormatting sqref="C31:E31">
    <cfRule type="expression" dxfId="290" priority="8">
      <formula>OR(IF($E31="Hela hallen",1))</formula>
    </cfRule>
  </conditionalFormatting>
  <conditionalFormatting sqref="A11">
    <cfRule type="expression" dxfId="289" priority="1875">
      <formula>OR(IF($A10="Dag",1))</formula>
    </cfRule>
  </conditionalFormatting>
  <conditionalFormatting sqref="B11">
    <cfRule type="expression" dxfId="288" priority="1876">
      <formula>OR(IF($B10="Datum",1))</formula>
    </cfRule>
  </conditionalFormatting>
  <conditionalFormatting sqref="C7:E7">
    <cfRule type="expression" dxfId="287" priority="6">
      <formula>OR(IF($E7="Hela hallen",1))</formula>
    </cfRule>
  </conditionalFormatting>
  <conditionalFormatting sqref="C28:E28">
    <cfRule type="expression" dxfId="286" priority="4">
      <formula>OR(IF($E28="Hela hallen",1))</formula>
    </cfRule>
  </conditionalFormatting>
  <conditionalFormatting sqref="A34">
    <cfRule type="expression" dxfId="285" priority="2454">
      <formula>OR(IF($A32="Dag",1))</formula>
    </cfRule>
  </conditionalFormatting>
  <conditionalFormatting sqref="B34">
    <cfRule type="expression" dxfId="284" priority="2458">
      <formula>OR(IF($B32="Datum",1))</formula>
    </cfRule>
  </conditionalFormatting>
  <conditionalFormatting sqref="E22">
    <cfRule type="expression" dxfId="283" priority="2">
      <formula>OR(IF($E22="Hela hallen",1))</formula>
    </cfRule>
  </conditionalFormatting>
  <conditionalFormatting sqref="A4 A6">
    <cfRule type="cellIs" dxfId="280" priority="3325" operator="equal">
      <formula>"Datum"</formula>
    </cfRule>
    <cfRule type="cellIs" dxfId="279" priority="3326" operator="equal">
      <formula>"Dag"</formula>
    </cfRule>
    <cfRule type="expression" dxfId="278" priority="3327">
      <formula>OR(IF(#REF!="Dag",1))</formula>
    </cfRule>
  </conditionalFormatting>
  <conditionalFormatting sqref="B4:B6 B26 B39">
    <cfRule type="expression" dxfId="277" priority="3336">
      <formula>OR(IF(#REF!="Datum",1))</formula>
    </cfRule>
  </conditionalFormatting>
  <conditionalFormatting sqref="C3:F40">
    <cfRule type="expression" dxfId="275" priority="3346">
      <formula>OR(IF(#REF!=TRUE,1))</formula>
    </cfRule>
  </conditionalFormatting>
  <conditionalFormatting sqref="A5 A26">
    <cfRule type="expression" dxfId="274" priority="3347">
      <formula>OR(IF(#REF!="Dag",1))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D4CE7256-62EC-4E7E-B639-183BB645696F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A7:B19 A21:B25 A27:B33 A35:B38 A40:B40</xm:sqref>
        </x14:conditionalFormatting>
        <x14:conditionalFormatting xmlns:xm="http://schemas.microsoft.com/office/excel/2006/main">
          <x14:cfRule type="expression" priority="2622" id="{9B1C627E-6D7C-4E51-97B6-70C3AEA90350}">
            <xm:f>AND(IF(ISERROR(MATCH($B20,Kalenderår!$A$3:$A$17,0)),FALSE,TRUE), IF($B17="Datum",TRUE,FALSE), IF($A17="Dag",TRUE,FALSE))</xm:f>
            <x14:dxf>
              <font>
                <color rgb="FFC00000"/>
              </font>
            </x14:dxf>
          </x14:cfRule>
          <xm:sqref>A20:B20</xm:sqref>
        </x14:conditionalFormatting>
        <x14:conditionalFormatting xmlns:xm="http://schemas.microsoft.com/office/excel/2006/main">
          <x14:cfRule type="expression" priority="3344" id="{D4CE7256-62EC-4E7E-B639-183BB645696F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A4:B6 A26:B26 A39:B39</xm:sqref>
        </x14:conditionalFormatting>
        <x14:conditionalFormatting xmlns:xm="http://schemas.microsoft.com/office/excel/2006/main">
          <x14:cfRule type="expression" priority="3355" id="{9B1C627E-6D7C-4E51-97B6-70C3AEA90350}">
            <xm:f>AND(IF(ISERROR(MATCH($B34,Kalenderår!$A$3:$A$17,0)),FALSE,TRUE), IF($B32="Datum",TRUE,FALSE), IF($A32="Dag",TRUE,FALSE))</xm:f>
            <x14:dxf>
              <font>
                <color rgb="FFC00000"/>
              </font>
            </x14:dxf>
          </x14:cfRule>
          <xm:sqref>A34:B34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5EEAAAC-0E8E-4716-A11F-3F06E071E27B}">
          <x14:formula1>
            <xm:f>Kontaktuppgifter!$A$2:$A$300</xm:f>
          </x14:formula1>
          <xm:sqref>F21:F25 F35:F38 F40 F12:F19 F27:F33 F3:F4 F6:F10</xm:sqref>
        </x14:dataValidation>
        <x14:dataValidation type="list" allowBlank="1" showInputMessage="1" showErrorMessage="1" xr:uid="{DDCD2F20-6548-4E09-BD5A-2456C0A31465}">
          <x14:formula1>
            <xm:f>Listor!$A$2:$A$150</xm:f>
          </x14:formula1>
          <xm:sqref>E35:E38 E40 E21:E25 E12:E19 E27:E33 E3:E4 E6:E10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7C6D-03DC-4982-8224-C45460660A7E}">
  <sheetPr codeName="Blad43"/>
  <dimension ref="A1:Y41"/>
  <sheetViews>
    <sheetView showGridLines="0" zoomScaleNormal="100" workbookViewId="0">
      <pane ySplit="2" topLeftCell="A3" activePane="bottomLeft" state="frozen"/>
      <selection activeCell="C4" sqref="C4:G4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Måndag42</f>
        <v>45943</v>
      </c>
      <c r="W1" s="33">
        <f>Söndag42</f>
        <v>45949</v>
      </c>
      <c r="X1" s="34">
        <f>WEEKNUM(Söndag42, 2)</f>
        <v>42</v>
      </c>
      <c r="Y1" s="35" t="str">
        <f>"V. "&amp;X1&amp;", "&amp;TEXT(V1,"D MMM")&amp;"-"&amp;TEXT(W1,"D MMM")</f>
        <v>V. 42, 13 okt-19 okt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Måndag42</f>
        <v>45943</v>
      </c>
      <c r="C3" s="40">
        <v>0.70833333333333337</v>
      </c>
      <c r="D3" s="41">
        <v>0.83333333333333337</v>
      </c>
      <c r="E3" s="42"/>
      <c r="F3" s="43" t="s">
        <v>873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 t="shared" ref="A5" si="2">PROPER(TEXT(B5, "dddd"))</f>
        <v>Tisdag</v>
      </c>
      <c r="B5" s="195">
        <f t="shared" ref="B5" si="3">Tisdag42</f>
        <v>45944</v>
      </c>
      <c r="C5" s="40">
        <v>0.375</v>
      </c>
      <c r="D5" s="48">
        <v>0.4375</v>
      </c>
      <c r="E5" s="49">
        <v>33</v>
      </c>
      <c r="F5" s="50" t="s">
        <v>507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5"/>
      <c r="C6" s="40">
        <v>0.5625</v>
      </c>
      <c r="D6" s="48">
        <v>0.64583333333333337</v>
      </c>
      <c r="E6" s="49"/>
      <c r="F6" s="50" t="s">
        <v>587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/>
      <c r="B7" s="195"/>
      <c r="C7" s="40">
        <v>0.70833333333333337</v>
      </c>
      <c r="D7" s="48">
        <v>0.83333333333333337</v>
      </c>
      <c r="E7" s="49"/>
      <c r="F7" s="50" t="s">
        <v>873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hidden="1" customHeight="1" x14ac:dyDescent="0.3">
      <c r="A8" s="193" t="s">
        <v>0</v>
      </c>
      <c r="B8" s="195" t="s">
        <v>1</v>
      </c>
      <c r="C8" s="44" t="s">
        <v>824</v>
      </c>
      <c r="D8" s="45" t="s">
        <v>2</v>
      </c>
      <c r="E8" s="46" t="s">
        <v>3</v>
      </c>
      <c r="F8" s="47" t="s">
        <v>4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193" t="str">
        <f t="shared" ref="A9" si="4">PROPER(TEXT(B9, "dddd"))</f>
        <v>Onsdag</v>
      </c>
      <c r="B9" s="195">
        <f t="shared" ref="B9" si="5">Onsdag42</f>
        <v>45945</v>
      </c>
      <c r="C9" s="40">
        <v>0.35416666666666669</v>
      </c>
      <c r="D9" s="48">
        <v>0.3888888888888889</v>
      </c>
      <c r="E9" s="49" t="s">
        <v>117</v>
      </c>
      <c r="F9" s="50" t="s">
        <v>453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0.375</v>
      </c>
      <c r="D10" s="48">
        <v>0.45833333333333331</v>
      </c>
      <c r="E10" s="49"/>
      <c r="F10" s="50" t="s">
        <v>737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0.41666666666666669</v>
      </c>
      <c r="D11" s="48">
        <v>0.5</v>
      </c>
      <c r="E11" s="49"/>
      <c r="F11" s="50" t="s">
        <v>643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0.4375</v>
      </c>
      <c r="D12" s="48">
        <v>0.47916666666666669</v>
      </c>
      <c r="E12" s="49" t="s">
        <v>79</v>
      </c>
      <c r="F12" s="50" t="s">
        <v>529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0.53125</v>
      </c>
      <c r="D13" s="48">
        <v>0.57291666666666663</v>
      </c>
      <c r="E13" s="49">
        <v>32</v>
      </c>
      <c r="F13" s="50" t="s">
        <v>529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15" customHeight="1" x14ac:dyDescent="0.3">
      <c r="A14" s="193"/>
      <c r="B14" s="195"/>
      <c r="C14" s="40">
        <v>0.55555555555555558</v>
      </c>
      <c r="D14" s="48">
        <v>0.63888888888888884</v>
      </c>
      <c r="E14" s="49"/>
      <c r="F14" s="50" t="s">
        <v>28</v>
      </c>
    </row>
    <row r="15" spans="1:25" ht="15" customHeight="1" x14ac:dyDescent="0.3">
      <c r="A15" s="193"/>
      <c r="B15" s="195"/>
      <c r="C15" s="40">
        <v>0.55555555555555558</v>
      </c>
      <c r="D15" s="48">
        <v>0.63888888888888884</v>
      </c>
      <c r="E15" s="49"/>
      <c r="F15" s="50" t="s">
        <v>776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193"/>
      <c r="B16" s="195"/>
      <c r="C16" s="40">
        <v>0.59375</v>
      </c>
      <c r="D16" s="48">
        <v>0.63541666666666663</v>
      </c>
      <c r="E16" s="49" t="s">
        <v>72</v>
      </c>
      <c r="F16" s="50" t="s">
        <v>529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0.70833333333333337</v>
      </c>
      <c r="D17" s="48">
        <v>0.83333333333333337</v>
      </c>
      <c r="E17" s="49"/>
      <c r="F17" s="50" t="s">
        <v>873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hidden="1" customHeight="1" x14ac:dyDescent="0.3">
      <c r="A18" s="193" t="s">
        <v>0</v>
      </c>
      <c r="B18" s="195" t="s">
        <v>1</v>
      </c>
      <c r="C18" s="44" t="s">
        <v>824</v>
      </c>
      <c r="D18" s="45" t="s">
        <v>2</v>
      </c>
      <c r="E18" s="46" t="s">
        <v>3</v>
      </c>
      <c r="F18" s="47" t="s">
        <v>4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 t="str">
        <f t="shared" ref="A19" si="6">PROPER(TEXT(B19, "dddd"))</f>
        <v>Torsdag</v>
      </c>
      <c r="B19" s="195">
        <f t="shared" ref="B19" si="7">Torsdag42</f>
        <v>45946</v>
      </c>
      <c r="C19" s="40">
        <v>0.35416666666666669</v>
      </c>
      <c r="D19" s="48">
        <v>0.39583333333333331</v>
      </c>
      <c r="E19" s="49" t="s">
        <v>117</v>
      </c>
      <c r="F19" s="50" t="s">
        <v>453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s="10" customFormat="1" ht="15" customHeight="1" x14ac:dyDescent="0.3">
      <c r="A20" s="193"/>
      <c r="B20" s="195"/>
      <c r="C20" s="40">
        <v>0.375</v>
      </c>
      <c r="D20" s="48">
        <v>0.4375</v>
      </c>
      <c r="E20" s="49" t="s">
        <v>72</v>
      </c>
      <c r="F20" s="50" t="s">
        <v>507</v>
      </c>
    </row>
    <row r="21" spans="1:24" ht="15" customHeight="1" x14ac:dyDescent="0.3">
      <c r="A21" s="193"/>
      <c r="B21" s="195"/>
      <c r="C21" s="40">
        <v>0.41666666666666669</v>
      </c>
      <c r="D21" s="48">
        <v>0.5</v>
      </c>
      <c r="E21" s="49"/>
      <c r="F21" s="50" t="s">
        <v>238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193"/>
      <c r="B22" s="195"/>
      <c r="C22" s="40">
        <v>0.5625</v>
      </c>
      <c r="D22" s="48">
        <v>0.64583333333333337</v>
      </c>
      <c r="E22" s="49"/>
      <c r="F22" s="50" t="s">
        <v>218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193"/>
      <c r="B23" s="195"/>
      <c r="C23" s="40">
        <v>0.70833333333333337</v>
      </c>
      <c r="D23" s="41">
        <v>0.83333333333333337</v>
      </c>
      <c r="E23" s="42"/>
      <c r="F23" s="43" t="s">
        <v>873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hidden="1" customHeight="1" x14ac:dyDescent="0.3">
      <c r="A24" s="193" t="s">
        <v>0</v>
      </c>
      <c r="B24" s="195" t="s">
        <v>1</v>
      </c>
      <c r="C24" s="44" t="s">
        <v>824</v>
      </c>
      <c r="D24" s="45" t="s">
        <v>2</v>
      </c>
      <c r="E24" s="46" t="s">
        <v>3</v>
      </c>
      <c r="F24" s="47" t="s">
        <v>4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 t="str">
        <f t="shared" ref="A25" si="8">PROPER(TEXT(B25, "dddd"))</f>
        <v>Fredag</v>
      </c>
      <c r="B25" s="195">
        <f t="shared" ref="B25" si="9">Fredag42</f>
        <v>45947</v>
      </c>
      <c r="C25" s="40">
        <v>0.35416666666666669</v>
      </c>
      <c r="D25" s="48">
        <v>0.39583333333333331</v>
      </c>
      <c r="E25" s="49" t="s">
        <v>117</v>
      </c>
      <c r="F25" s="50" t="s">
        <v>453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s="10" customFormat="1" ht="15" customHeight="1" x14ac:dyDescent="0.3">
      <c r="A26" s="193"/>
      <c r="B26" s="195"/>
      <c r="C26" s="40">
        <v>0.375</v>
      </c>
      <c r="D26" s="48">
        <v>0.44791666666666669</v>
      </c>
      <c r="E26" s="49"/>
      <c r="F26" s="50" t="s">
        <v>508</v>
      </c>
    </row>
    <row r="27" spans="1:24" ht="15" customHeight="1" x14ac:dyDescent="0.3">
      <c r="A27" s="193"/>
      <c r="B27" s="195"/>
      <c r="C27" s="40">
        <v>0.41666666666666669</v>
      </c>
      <c r="D27" s="48">
        <v>0.5</v>
      </c>
      <c r="E27" s="49"/>
      <c r="F27" s="50" t="s">
        <v>629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193"/>
      <c r="B28" s="195"/>
      <c r="C28" s="40">
        <v>0.44791666666666669</v>
      </c>
      <c r="D28" s="48">
        <v>0.51041666666666663</v>
      </c>
      <c r="E28" s="49">
        <v>13</v>
      </c>
      <c r="F28" s="50" t="s">
        <v>507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193"/>
      <c r="B29" s="195"/>
      <c r="C29" s="40">
        <v>0.45833333333333331</v>
      </c>
      <c r="D29" s="41">
        <v>0.54166666666666663</v>
      </c>
      <c r="E29" s="42"/>
      <c r="F29" s="43" t="s">
        <v>800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193"/>
      <c r="B30" s="195"/>
      <c r="C30" s="40">
        <v>0.70833333333333337</v>
      </c>
      <c r="D30" s="48">
        <v>0.83333333333333337</v>
      </c>
      <c r="E30" s="49"/>
      <c r="F30" s="50" t="s">
        <v>873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193"/>
      <c r="B31" s="195"/>
      <c r="C31" s="40">
        <v>0.5625</v>
      </c>
      <c r="D31" s="48">
        <v>0.66666666666666663</v>
      </c>
      <c r="E31" s="49" t="s">
        <v>83</v>
      </c>
      <c r="F31" s="50" t="s">
        <v>1010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s="10" customFormat="1" ht="15" hidden="1" customHeight="1" x14ac:dyDescent="0.3">
      <c r="A32" s="193" t="s">
        <v>0</v>
      </c>
      <c r="B32" s="195" t="s">
        <v>1</v>
      </c>
      <c r="C32" s="44" t="s">
        <v>824</v>
      </c>
      <c r="D32" s="45" t="s">
        <v>2</v>
      </c>
      <c r="E32" s="46" t="s">
        <v>3</v>
      </c>
      <c r="F32" s="47" t="s">
        <v>4</v>
      </c>
    </row>
    <row r="33" spans="1:24" ht="15" customHeight="1" x14ac:dyDescent="0.3">
      <c r="A33" s="193" t="str">
        <f t="shared" ref="A33" si="10">PROPER(TEXT(B33, "dddd"))</f>
        <v>Lördag</v>
      </c>
      <c r="B33" s="195">
        <f t="shared" ref="B33" si="11">Lördag42</f>
        <v>45948</v>
      </c>
      <c r="C33" s="40">
        <v>0.375</v>
      </c>
      <c r="D33" s="48">
        <v>0.54166666666666663</v>
      </c>
      <c r="E33" s="49"/>
      <c r="F33" s="50" t="s">
        <v>681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customHeight="1" x14ac:dyDescent="0.3">
      <c r="A34" s="193"/>
      <c r="B34" s="195"/>
      <c r="C34" s="40">
        <v>0.625</v>
      </c>
      <c r="D34" s="48">
        <v>0.66666666666666663</v>
      </c>
      <c r="E34" s="49"/>
      <c r="F34" s="50" t="s">
        <v>561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customHeight="1" x14ac:dyDescent="0.3">
      <c r="A35" s="193"/>
      <c r="B35" s="195"/>
      <c r="C35" s="40">
        <v>0.54166666666666663</v>
      </c>
      <c r="D35" s="48">
        <v>0.625</v>
      </c>
      <c r="E35" s="49"/>
      <c r="F35" s="50" t="s">
        <v>873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hidden="1" customHeight="1" x14ac:dyDescent="0.3">
      <c r="A36" s="193" t="s">
        <v>0</v>
      </c>
      <c r="B36" s="195" t="s">
        <v>1</v>
      </c>
      <c r="C36" s="44" t="s">
        <v>824</v>
      </c>
      <c r="D36" s="45" t="s">
        <v>2</v>
      </c>
      <c r="E36" s="46" t="s">
        <v>3</v>
      </c>
      <c r="F36" s="47" t="s">
        <v>4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193" t="str">
        <f t="shared" ref="A37" si="12">PROPER(TEXT(B37, "dddd"))</f>
        <v>Söndag</v>
      </c>
      <c r="B37" s="195">
        <f t="shared" ref="B37" si="13">Söndag42</f>
        <v>45949</v>
      </c>
      <c r="C37" s="40">
        <v>0.375</v>
      </c>
      <c r="D37" s="48">
        <v>0.79166666666666663</v>
      </c>
      <c r="E37" s="49"/>
      <c r="F37" s="50" t="s">
        <v>873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9" spans="1:24" ht="15" customHeight="1" x14ac:dyDescent="0.3">
      <c r="C39" s="40"/>
      <c r="D39" s="41"/>
    </row>
    <row r="40" spans="1:24" ht="15" customHeight="1" x14ac:dyDescent="0.3">
      <c r="C40" s="40"/>
      <c r="D40" s="8"/>
    </row>
    <row r="41" spans="1:24" ht="15" customHeight="1" x14ac:dyDescent="0.3">
      <c r="C41" s="40"/>
      <c r="D41" s="8"/>
    </row>
  </sheetData>
  <sheetProtection algorithmName="SHA-512" hashValue="ZxC61MTwI7mxUCn2ircnF+MWT9b1FyfJNEkpndr2pAWOSbUt1XC4aGgsDL9uLFWnKYUa1C6dzfeSrM26//Hc8Q==" saltValue="u3U1u79Mnk589i2M43MUKw==" spinCount="100000" sheet="1" objects="1" scenarios="1" autoFilter="0" pivotTables="0"/>
  <sortState xmlns:xlrd2="http://schemas.microsoft.com/office/spreadsheetml/2017/richdata2" ref="A9:F17">
    <sortCondition ref="C9:C17"/>
  </sortState>
  <conditionalFormatting sqref="A19:A23 A33:A35 A37 A25:A31 A9:A17 A6:A7">
    <cfRule type="cellIs" dxfId="272" priority="15" operator="equal">
      <formula>"Datum"</formula>
    </cfRule>
    <cfRule type="cellIs" dxfId="271" priority="16" operator="equal">
      <formula>"Dag"</formula>
    </cfRule>
    <cfRule type="expression" dxfId="270" priority="18">
      <formula>OR(IF($A5="Dag",1))</formula>
    </cfRule>
  </conditionalFormatting>
  <conditionalFormatting sqref="A36">
    <cfRule type="expression" dxfId="269" priority="36">
      <formula>OR(IF(#REF!="Dag",1))</formula>
    </cfRule>
  </conditionalFormatting>
  <conditionalFormatting sqref="A1:B2 A4:B4 A8:B8 A18:B18 B19:B23 A24:B24 A32:B32 B33:B35 A36:B36 B37 A38:B1048576 B25:B31 B9:B17 B3 B5:B7">
    <cfRule type="cellIs" dxfId="268" priority="28" operator="equal">
      <formula>"Datum"</formula>
    </cfRule>
    <cfRule type="cellIs" dxfId="267" priority="29" operator="equal">
      <formula>"Dag"</formula>
    </cfRule>
  </conditionalFormatting>
  <conditionalFormatting sqref="B9:B17 B6:B7 B19:B23 B25:B31 B33:B35 B37">
    <cfRule type="expression" dxfId="266" priority="35">
      <formula>OR(IF($B5="Datum",1))</formula>
    </cfRule>
  </conditionalFormatting>
  <conditionalFormatting sqref="C27:E28 C21:E22 C20:D20 C4:E5 C7:E19 C24:E25 C30:E37">
    <cfRule type="expression" dxfId="265" priority="32">
      <formula>OR(IF($E4="Hela hallen",1))</formula>
    </cfRule>
  </conditionalFormatting>
  <conditionalFormatting sqref="L1:T1048576">
    <cfRule type="cellIs" dxfId="264" priority="27" operator="equal">
      <formula>"-"</formula>
    </cfRule>
  </conditionalFormatting>
  <conditionalFormatting sqref="A18">
    <cfRule type="expression" dxfId="263" priority="1215">
      <formula>OR(IF($A14="Dag",1))</formula>
    </cfRule>
  </conditionalFormatting>
  <conditionalFormatting sqref="B18">
    <cfRule type="expression" dxfId="262" priority="1219">
      <formula>OR(IF($B14="Datum",1))</formula>
    </cfRule>
  </conditionalFormatting>
  <conditionalFormatting sqref="C3:E3">
    <cfRule type="expression" dxfId="261" priority="13">
      <formula>OR(IF($E3="Hela hallen",1))</formula>
    </cfRule>
  </conditionalFormatting>
  <conditionalFormatting sqref="C23:E23">
    <cfRule type="expression" dxfId="260" priority="9">
      <formula>OR(IF($E23="Hela hallen",1))</formula>
    </cfRule>
  </conditionalFormatting>
  <conditionalFormatting sqref="C29:E29">
    <cfRule type="expression" dxfId="259" priority="7">
      <formula>OR(IF($E29="Hela hallen",1))</formula>
    </cfRule>
  </conditionalFormatting>
  <conditionalFormatting sqref="A8 A24">
    <cfRule type="expression" dxfId="258" priority="2353">
      <formula>OR(IF(#REF!="Dag",1))</formula>
    </cfRule>
  </conditionalFormatting>
  <conditionalFormatting sqref="B8 B24 B36">
    <cfRule type="expression" dxfId="257" priority="2357">
      <formula>OR(IF(#REF!="Datum",1))</formula>
    </cfRule>
  </conditionalFormatting>
  <conditionalFormatting sqref="C6:E6">
    <cfRule type="expression" dxfId="256" priority="5">
      <formula>OR(IF($E6="Hela hallen",1))</formula>
    </cfRule>
  </conditionalFormatting>
  <conditionalFormatting sqref="C26:E26">
    <cfRule type="expression" dxfId="255" priority="3">
      <formula>OR(IF($E26="Hela hallen",1))</formula>
    </cfRule>
  </conditionalFormatting>
  <conditionalFormatting sqref="E20">
    <cfRule type="expression" dxfId="254" priority="1">
      <formula>OR(IF($E20="Hela hallen",1))</formula>
    </cfRule>
  </conditionalFormatting>
  <conditionalFormatting sqref="A32">
    <cfRule type="expression" dxfId="253" priority="2495">
      <formula>OR(IF($A30="Dag",1))</formula>
    </cfRule>
  </conditionalFormatting>
  <conditionalFormatting sqref="B32">
    <cfRule type="expression" dxfId="252" priority="2496">
      <formula>OR(IF($B30="Datum",1))</formula>
    </cfRule>
  </conditionalFormatting>
  <conditionalFormatting sqref="A3 A5">
    <cfRule type="cellIs" dxfId="250" priority="3356" operator="equal">
      <formula>"Datum"</formula>
    </cfRule>
    <cfRule type="cellIs" dxfId="249" priority="3357" operator="equal">
      <formula>"Dag"</formula>
    </cfRule>
    <cfRule type="expression" dxfId="248" priority="3358">
      <formula>OR(IF(#REF!="Dag",1))</formula>
    </cfRule>
  </conditionalFormatting>
  <conditionalFormatting sqref="B3:B5">
    <cfRule type="expression" dxfId="247" priority="3364">
      <formula>OR(IF(#REF!="Datum",1))</formula>
    </cfRule>
  </conditionalFormatting>
  <conditionalFormatting sqref="C3:F37">
    <cfRule type="expression" dxfId="245" priority="3371">
      <formula>OR(IF(#REF!=TRUE,1))</formula>
    </cfRule>
  </conditionalFormatting>
  <conditionalFormatting sqref="A4">
    <cfRule type="expression" dxfId="244" priority="3372">
      <formula>OR(IF(#REF!="Dag",1))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F115269-4340-468F-B348-3773DB9B20A7}">
            <xm:f>AND(IF(ISERROR(MATCH($B6,Kalenderår!$A$3:$A$17,0)),FALSE,TRUE), IF($B5="Datum",TRUE,FALSE), IF($A5="Dag",TRUE,FALSE))</xm:f>
            <x14:dxf>
              <font>
                <color rgb="FFC00000"/>
              </font>
            </x14:dxf>
          </x14:cfRule>
          <xm:sqref>A6:B7 A9:B17 A19:B23 A25:B31 A33:B35 A37:B37</xm:sqref>
        </x14:conditionalFormatting>
        <x14:conditionalFormatting xmlns:xm="http://schemas.microsoft.com/office/excel/2006/main">
          <x14:cfRule type="expression" priority="3369" id="{0F115269-4340-468F-B348-3773DB9B20A7}">
            <xm:f>AND(IF(ISERROR(MATCH($B3,Kalenderår!$A$3:$A$17,0)),FALSE,TRUE), IF(#REF!="Datum",TRUE,FALSE), IF(#REF!="Dag",TRUE,FALSE))</xm:f>
            <x14:dxf>
              <font>
                <color rgb="FFC00000"/>
              </font>
            </x14:dxf>
          </x14:cfRule>
          <xm:sqref>A3:B5 A8:B8 A24:B24 A36:B36</xm:sqref>
        </x14:conditionalFormatting>
        <x14:conditionalFormatting xmlns:xm="http://schemas.microsoft.com/office/excel/2006/main">
          <x14:cfRule type="expression" priority="3380" id="{2C363266-2396-4930-8453-EA812B79E30D}">
            <xm:f>AND(IF(ISERROR(MATCH($B18,Kalenderår!$A$3:$A$17,0)),FALSE,TRUE), IF($B14="Datum",TRUE,FALSE), IF($A14="Dag",TRUE,FALSE))</xm:f>
            <x14:dxf>
              <font>
                <color rgb="FFC00000"/>
              </font>
            </x14:dxf>
          </x14:cfRule>
          <xm:sqref>A18:B18</xm:sqref>
        </x14:conditionalFormatting>
        <x14:conditionalFormatting xmlns:xm="http://schemas.microsoft.com/office/excel/2006/main">
          <x14:cfRule type="expression" priority="3388" id="{2C363266-2396-4930-8453-EA812B79E30D}">
            <xm:f>AND(IF(ISERROR(MATCH($B32,Kalenderår!$A$3:$A$17,0)),FALSE,TRUE), IF($B30="Datum",TRUE,FALSE), IF($A30="Dag",TRUE,FALSE))</xm:f>
            <x14:dxf>
              <font>
                <color rgb="FFC00000"/>
              </font>
            </x14:dxf>
          </x14:cfRule>
          <xm:sqref>A32:B32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190814A-78C7-4264-8B0D-B0DF2BD70710}">
          <x14:formula1>
            <xm:f>Listor!$A$2:$A$150</xm:f>
          </x14:formula1>
          <xm:sqref>E33:E35 E37 E19:E23 E25:E31 E9:E17 E3 E5:E7</xm:sqref>
        </x14:dataValidation>
        <x14:dataValidation type="list" allowBlank="1" showInputMessage="1" showErrorMessage="1" xr:uid="{FCBAA5CB-09D4-473D-9401-8CEDBC4D68B3}">
          <x14:formula1>
            <xm:f>Kontaktuppgifter!$A$2:$A$300</xm:f>
          </x14:formula1>
          <xm:sqref>F19:F23 F9:F17 F37 F25:F31 F33:F35 F3 F5:F7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F11E-0FEB-42FE-968E-FC596A46ABB1}">
  <sheetPr codeName="Blad44"/>
  <dimension ref="A1:Y44"/>
  <sheetViews>
    <sheetView showGridLines="0" zoomScaleNormal="100" workbookViewId="0">
      <pane ySplit="2" topLeftCell="A3" activePane="bottomLeft" state="frozen"/>
      <selection activeCell="C4" sqref="C4:G4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Måndag43</f>
        <v>45950</v>
      </c>
      <c r="W1" s="33">
        <f>Söndag43</f>
        <v>45956</v>
      </c>
      <c r="X1" s="34">
        <f>WEEKNUM(Söndag43, 2)</f>
        <v>43</v>
      </c>
      <c r="Y1" s="35" t="str">
        <f>"V. "&amp;X1&amp;", "&amp;TEXT(V1,"D MMM")&amp;"-"&amp;TEXT(W1,"D MMM")</f>
        <v>V. 43, 20 okt-26 okt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Måndag43</f>
        <v>45950</v>
      </c>
      <c r="C3" s="40">
        <v>0.70833333333333337</v>
      </c>
      <c r="D3" s="41">
        <v>0.83333333333333337</v>
      </c>
      <c r="E3" s="42"/>
      <c r="F3" s="43" t="s">
        <v>873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 t="shared" ref="A5" si="2">PROPER(TEXT(B5, "dddd"))</f>
        <v>Tisdag</v>
      </c>
      <c r="B5" s="195">
        <f t="shared" ref="B5" si="3">Tisdag43</f>
        <v>45951</v>
      </c>
      <c r="C5" s="40">
        <v>0.375</v>
      </c>
      <c r="D5" s="48">
        <v>0.4375</v>
      </c>
      <c r="E5" s="49">
        <v>33</v>
      </c>
      <c r="F5" s="50" t="s">
        <v>507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5"/>
      <c r="C6" s="40">
        <v>0.375</v>
      </c>
      <c r="D6" s="48">
        <v>0.45833333333333331</v>
      </c>
      <c r="E6" s="49" t="s">
        <v>83</v>
      </c>
      <c r="F6" s="50" t="s">
        <v>1010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/>
      <c r="B7" s="195"/>
      <c r="C7" s="40">
        <v>0.5625</v>
      </c>
      <c r="D7" s="48">
        <v>0.64583333333333337</v>
      </c>
      <c r="E7" s="49"/>
      <c r="F7" s="50" t="s">
        <v>587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193"/>
      <c r="B8" s="195"/>
      <c r="C8" s="40">
        <v>0.70833333333333337</v>
      </c>
      <c r="D8" s="41">
        <v>0.83333333333333337</v>
      </c>
      <c r="E8" s="42"/>
      <c r="F8" s="43" t="s">
        <v>873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hidden="1" customHeight="1" x14ac:dyDescent="0.3">
      <c r="A9" s="193" t="s">
        <v>0</v>
      </c>
      <c r="B9" s="195" t="s">
        <v>1</v>
      </c>
      <c r="C9" s="44" t="s">
        <v>824</v>
      </c>
      <c r="D9" s="45" t="s">
        <v>2</v>
      </c>
      <c r="E9" s="46" t="s">
        <v>3</v>
      </c>
      <c r="F9" s="47" t="s">
        <v>4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 t="str">
        <f t="shared" ref="A10" si="4">PROPER(TEXT(B10, "dddd"))</f>
        <v>Onsdag</v>
      </c>
      <c r="B10" s="195">
        <f t="shared" ref="B10" si="5">Onsdag43</f>
        <v>45952</v>
      </c>
      <c r="C10" s="40">
        <v>0.35416666666666669</v>
      </c>
      <c r="D10" s="48">
        <v>0.3888888888888889</v>
      </c>
      <c r="E10" s="49" t="s">
        <v>117</v>
      </c>
      <c r="F10" s="50" t="s">
        <v>453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0.375</v>
      </c>
      <c r="D11" s="48">
        <v>0.45833333333333331</v>
      </c>
      <c r="E11" s="49"/>
      <c r="F11" s="50" t="s">
        <v>737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0.39583333333333331</v>
      </c>
      <c r="D12" s="48">
        <v>0.47916666666666669</v>
      </c>
      <c r="E12" s="49" t="s">
        <v>83</v>
      </c>
      <c r="F12" s="50" t="s">
        <v>1010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0.41666666666666669</v>
      </c>
      <c r="D13" s="48">
        <v>0.5</v>
      </c>
      <c r="E13" s="49"/>
      <c r="F13" s="50" t="s">
        <v>643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/>
      <c r="B14" s="195"/>
      <c r="C14" s="40">
        <v>0.4375</v>
      </c>
      <c r="D14" s="48">
        <v>0.47916666666666669</v>
      </c>
      <c r="E14" s="49" t="s">
        <v>79</v>
      </c>
      <c r="F14" s="50" t="s">
        <v>529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s="10" customFormat="1" ht="15" customHeight="1" x14ac:dyDescent="0.3">
      <c r="A15" s="193"/>
      <c r="B15" s="195"/>
      <c r="C15" s="40">
        <v>0.53125</v>
      </c>
      <c r="D15" s="48">
        <v>0.57291666666666663</v>
      </c>
      <c r="E15" s="49">
        <v>32</v>
      </c>
      <c r="F15" s="50" t="s">
        <v>529</v>
      </c>
    </row>
    <row r="16" spans="1:25" ht="15" customHeight="1" x14ac:dyDescent="0.3">
      <c r="A16" s="193"/>
      <c r="B16" s="195"/>
      <c r="C16" s="40">
        <v>0.55555555555555558</v>
      </c>
      <c r="D16" s="48">
        <v>0.63888888888888884</v>
      </c>
      <c r="E16" s="49"/>
      <c r="F16" s="50" t="s">
        <v>28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0.55555555555555558</v>
      </c>
      <c r="D17" s="48">
        <v>0.63888888888888884</v>
      </c>
      <c r="E17" s="49"/>
      <c r="F17" s="50" t="s">
        <v>776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/>
      <c r="B18" s="195"/>
      <c r="C18" s="40">
        <v>0.60416666666666663</v>
      </c>
      <c r="D18" s="48">
        <v>0.6875</v>
      </c>
      <c r="E18" s="49" t="s">
        <v>83</v>
      </c>
      <c r="F18" s="50" t="s">
        <v>1010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/>
      <c r="B19" s="195"/>
      <c r="C19" s="40">
        <v>0.59375</v>
      </c>
      <c r="D19" s="48">
        <v>0.63541666666666663</v>
      </c>
      <c r="E19" s="49" t="s">
        <v>72</v>
      </c>
      <c r="F19" s="50" t="s">
        <v>529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/>
      <c r="B20" s="195"/>
      <c r="C20" s="40">
        <v>0.70833333333333337</v>
      </c>
      <c r="D20" s="48">
        <v>0.83333333333333337</v>
      </c>
      <c r="E20" s="49" t="s">
        <v>83</v>
      </c>
      <c r="F20" s="50" t="s">
        <v>873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s="10" customFormat="1" ht="15" hidden="1" customHeight="1" x14ac:dyDescent="0.3">
      <c r="A21" s="193" t="s">
        <v>0</v>
      </c>
      <c r="B21" s="195" t="s">
        <v>1</v>
      </c>
      <c r="C21" s="44" t="s">
        <v>824</v>
      </c>
      <c r="D21" s="45" t="s">
        <v>2</v>
      </c>
      <c r="E21" s="46" t="s">
        <v>3</v>
      </c>
      <c r="F21" s="47" t="s">
        <v>4</v>
      </c>
    </row>
    <row r="22" spans="1:24" ht="15" customHeight="1" x14ac:dyDescent="0.3">
      <c r="A22" s="193" t="str">
        <f t="shared" ref="A22" si="6">PROPER(TEXT(B22, "dddd"))</f>
        <v>Torsdag</v>
      </c>
      <c r="B22" s="195">
        <f t="shared" ref="B22" si="7">Torsdag43</f>
        <v>45953</v>
      </c>
      <c r="C22" s="40">
        <v>0.35416666666666669</v>
      </c>
      <c r="D22" s="48">
        <v>0.39583333333333331</v>
      </c>
      <c r="E22" s="49" t="s">
        <v>117</v>
      </c>
      <c r="F22" s="50" t="s">
        <v>453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193"/>
      <c r="B23" s="195"/>
      <c r="C23" s="40">
        <v>0.375</v>
      </c>
      <c r="D23" s="48">
        <v>0.4375</v>
      </c>
      <c r="E23" s="49" t="s">
        <v>72</v>
      </c>
      <c r="F23" s="50" t="s">
        <v>507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193"/>
      <c r="B24" s="195"/>
      <c r="C24" s="40">
        <v>0.41666666666666669</v>
      </c>
      <c r="D24" s="48">
        <v>0.5</v>
      </c>
      <c r="E24" s="49"/>
      <c r="F24" s="50" t="s">
        <v>238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/>
      <c r="B25" s="195"/>
      <c r="C25" s="40">
        <v>0.5625</v>
      </c>
      <c r="D25" s="48">
        <v>0.64583333333333337</v>
      </c>
      <c r="E25" s="49"/>
      <c r="F25" s="50" t="s">
        <v>218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/>
      <c r="B26" s="195"/>
      <c r="C26" s="40">
        <v>0.70833333333333337</v>
      </c>
      <c r="D26" s="41">
        <v>0.83333333333333337</v>
      </c>
      <c r="E26" s="42"/>
      <c r="F26" s="43" t="s">
        <v>873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193"/>
      <c r="B27" s="195"/>
      <c r="C27" s="40">
        <v>0.60416666666666663</v>
      </c>
      <c r="D27" s="48">
        <v>0.6875</v>
      </c>
      <c r="E27" s="49" t="s">
        <v>83</v>
      </c>
      <c r="F27" s="50" t="s">
        <v>1010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s="10" customFormat="1" ht="15" customHeight="1" x14ac:dyDescent="0.3">
      <c r="A28" s="193"/>
      <c r="B28" s="195"/>
      <c r="C28" s="40">
        <v>0.41666666666666669</v>
      </c>
      <c r="D28" s="48">
        <v>0.5</v>
      </c>
      <c r="E28" s="49" t="s">
        <v>83</v>
      </c>
      <c r="F28" s="50" t="s">
        <v>1010</v>
      </c>
    </row>
    <row r="29" spans="1:24" ht="15" hidden="1" customHeight="1" x14ac:dyDescent="0.3">
      <c r="A29" s="193" t="s">
        <v>0</v>
      </c>
      <c r="B29" s="195" t="s">
        <v>1</v>
      </c>
      <c r="C29" s="44" t="s">
        <v>824</v>
      </c>
      <c r="D29" s="45" t="s">
        <v>2</v>
      </c>
      <c r="E29" s="46" t="s">
        <v>3</v>
      </c>
      <c r="F29" s="47" t="s">
        <v>4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193" t="str">
        <f t="shared" ref="A30" si="8">PROPER(TEXT(B30, "dddd"))</f>
        <v>Fredag</v>
      </c>
      <c r="B30" s="195">
        <f t="shared" ref="B30" si="9">Fredag43</f>
        <v>45954</v>
      </c>
      <c r="C30" s="40">
        <v>0.35416666666666669</v>
      </c>
      <c r="D30" s="48">
        <v>0.39583333333333331</v>
      </c>
      <c r="E30" s="49" t="s">
        <v>117</v>
      </c>
      <c r="F30" s="50" t="s">
        <v>453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193"/>
      <c r="B31" s="195"/>
      <c r="C31" s="40">
        <v>0.375</v>
      </c>
      <c r="D31" s="48">
        <v>0.44791666666666669</v>
      </c>
      <c r="E31" s="49"/>
      <c r="F31" s="50" t="s">
        <v>508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193"/>
      <c r="B32" s="195"/>
      <c r="C32" s="40">
        <v>0.41666666666666669</v>
      </c>
      <c r="D32" s="48">
        <v>0.5</v>
      </c>
      <c r="E32" s="49"/>
      <c r="F32" s="50" t="s">
        <v>629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193"/>
      <c r="B33" s="195"/>
      <c r="C33" s="40">
        <v>0.44791666666666669</v>
      </c>
      <c r="D33" s="48">
        <v>0.51041666666666663</v>
      </c>
      <c r="E33" s="49">
        <v>13</v>
      </c>
      <c r="F33" s="50" t="s">
        <v>507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s="10" customFormat="1" ht="15" customHeight="1" x14ac:dyDescent="0.3">
      <c r="A34" s="193"/>
      <c r="B34" s="195"/>
      <c r="C34" s="40">
        <v>0.45833333333333331</v>
      </c>
      <c r="D34" s="41">
        <v>0.54166666666666663</v>
      </c>
      <c r="E34" s="42"/>
      <c r="F34" s="43" t="s">
        <v>800</v>
      </c>
    </row>
    <row r="35" spans="1:24" ht="15" customHeight="1" x14ac:dyDescent="0.3">
      <c r="A35" s="193"/>
      <c r="B35" s="195"/>
      <c r="C35" s="40">
        <v>0.70833333333333337</v>
      </c>
      <c r="D35" s="48">
        <v>0.83333333333333337</v>
      </c>
      <c r="E35" s="49"/>
      <c r="F35" s="50" t="s">
        <v>873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hidden="1" customHeight="1" x14ac:dyDescent="0.3">
      <c r="A36" s="193" t="s">
        <v>0</v>
      </c>
      <c r="B36" s="195" t="s">
        <v>1</v>
      </c>
      <c r="C36" s="44" t="s">
        <v>824</v>
      </c>
      <c r="D36" s="45" t="s">
        <v>2</v>
      </c>
      <c r="E36" s="46" t="s">
        <v>3</v>
      </c>
      <c r="F36" s="47" t="s">
        <v>4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193" t="str">
        <f t="shared" ref="A37" si="10">PROPER(TEXT(B37, "dddd"))</f>
        <v>Lördag</v>
      </c>
      <c r="B37" s="195">
        <f t="shared" ref="B37" si="11">Lördag43</f>
        <v>45955</v>
      </c>
      <c r="C37" s="40">
        <v>0.375</v>
      </c>
      <c r="D37" s="48">
        <v>0.625</v>
      </c>
      <c r="E37" s="49"/>
      <c r="F37" s="50" t="s">
        <v>873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8" spans="1:24" ht="15" customHeight="1" x14ac:dyDescent="0.3">
      <c r="A38" s="193"/>
      <c r="B38" s="195"/>
      <c r="C38" s="40">
        <v>0.625</v>
      </c>
      <c r="D38" s="48">
        <v>0.66666666666666663</v>
      </c>
      <c r="E38" s="49"/>
      <c r="F38" s="50" t="s">
        <v>561</v>
      </c>
      <c r="G38"/>
      <c r="H38" s="1"/>
      <c r="I38" s="1"/>
      <c r="L38"/>
      <c r="M38"/>
      <c r="N38"/>
      <c r="O38"/>
      <c r="P38"/>
      <c r="Q38"/>
      <c r="R38"/>
      <c r="S38"/>
      <c r="T38"/>
      <c r="V38"/>
      <c r="W38"/>
      <c r="X38"/>
    </row>
    <row r="39" spans="1:24" ht="15" hidden="1" customHeight="1" x14ac:dyDescent="0.3">
      <c r="A39" s="193" t="s">
        <v>0</v>
      </c>
      <c r="B39" s="195" t="s">
        <v>1</v>
      </c>
      <c r="C39" s="44" t="s">
        <v>824</v>
      </c>
      <c r="D39" s="45" t="s">
        <v>2</v>
      </c>
      <c r="E39" s="46" t="s">
        <v>3</v>
      </c>
      <c r="F39" s="47" t="s">
        <v>4</v>
      </c>
      <c r="G39"/>
      <c r="H39" s="1"/>
      <c r="I39" s="1"/>
      <c r="L39"/>
      <c r="M39"/>
      <c r="N39"/>
      <c r="O39"/>
      <c r="P39"/>
      <c r="Q39"/>
      <c r="R39"/>
      <c r="S39"/>
      <c r="T39"/>
      <c r="V39"/>
      <c r="W39"/>
      <c r="X39"/>
    </row>
    <row r="40" spans="1:24" ht="15" customHeight="1" x14ac:dyDescent="0.3">
      <c r="A40" s="193" t="str">
        <f t="shared" ref="A40" si="12">PROPER(TEXT(B40, "dddd"))</f>
        <v>Söndag</v>
      </c>
      <c r="B40" s="195">
        <f t="shared" ref="B40" si="13">Söndag43</f>
        <v>45956</v>
      </c>
      <c r="C40" s="40">
        <v>0.29166666666666669</v>
      </c>
      <c r="D40" s="48">
        <v>0.66666666666666663</v>
      </c>
      <c r="E40" s="49"/>
      <c r="F40" s="50" t="s">
        <v>476</v>
      </c>
      <c r="G40"/>
      <c r="H40" s="1"/>
      <c r="I40" s="1"/>
      <c r="L40"/>
      <c r="M40"/>
      <c r="N40"/>
      <c r="O40"/>
      <c r="P40"/>
      <c r="Q40"/>
      <c r="R40"/>
      <c r="S40"/>
      <c r="T40"/>
      <c r="V40"/>
      <c r="W40"/>
      <c r="X40"/>
    </row>
    <row r="42" spans="1:24" ht="15" customHeight="1" x14ac:dyDescent="0.3">
      <c r="C42" s="40"/>
      <c r="D42" s="41"/>
    </row>
    <row r="43" spans="1:24" ht="15" customHeight="1" x14ac:dyDescent="0.3">
      <c r="C43" s="40"/>
      <c r="D43" s="8"/>
    </row>
    <row r="44" spans="1:24" ht="15" customHeight="1" x14ac:dyDescent="0.3">
      <c r="C44" s="40"/>
      <c r="D44" s="8"/>
    </row>
  </sheetData>
  <sheetProtection algorithmName="SHA-512" hashValue="/O9dndsno3ZKjaUjx7Plyle58iH0RxBY1JxHsjbM7JornXJbddnstF7JMw0YJmgNWmWNx5QPzHmgqd0GWdm31Q==" saltValue="Q3ih/zzHwhSVNNtdyGKAPQ==" spinCount="100000" sheet="1" objects="1" scenarios="1" autoFilter="0" pivotTables="0"/>
  <sortState xmlns:xlrd2="http://schemas.microsoft.com/office/spreadsheetml/2017/richdata2" ref="A10:F20">
    <sortCondition ref="C10:C20"/>
  </sortState>
  <conditionalFormatting sqref="A37:A38 A40 A30:A35 A22:A28 A10:A20 A6:A8">
    <cfRule type="cellIs" dxfId="241" priority="21" operator="equal">
      <formula>"Datum"</formula>
    </cfRule>
    <cfRule type="cellIs" dxfId="240" priority="22" operator="equal">
      <formula>"Dag"</formula>
    </cfRule>
    <cfRule type="expression" dxfId="239" priority="24">
      <formula>OR(IF($A5="Dag",1))</formula>
    </cfRule>
  </conditionalFormatting>
  <conditionalFormatting sqref="A39">
    <cfRule type="expression" dxfId="238" priority="42">
      <formula>OR(IF(#REF!="Dag",1))</formula>
    </cfRule>
  </conditionalFormatting>
  <conditionalFormatting sqref="A1:B2 A4:B4 A9:B9 A21:B21 A29:B29 A36:B36 B37:B38 A39:B39 B40 A41:B1048576 B30:B35 B22:B28 B10:B20 B3 B5:B8">
    <cfRule type="cellIs" dxfId="237" priority="34" operator="equal">
      <formula>"Datum"</formula>
    </cfRule>
    <cfRule type="cellIs" dxfId="236" priority="35" operator="equal">
      <formula>"Dag"</formula>
    </cfRule>
  </conditionalFormatting>
  <conditionalFormatting sqref="B30:B35 B22:B28 B6:B8 B10:B20 B37:B38 B40">
    <cfRule type="expression" dxfId="235" priority="41">
      <formula>OR(IF($B5="Datum",1))</formula>
    </cfRule>
  </conditionalFormatting>
  <conditionalFormatting sqref="C7:E7 C32:E33 C24:E25 C23:D23 C4:E5 C9:E22 C27:E30 C35:E39">
    <cfRule type="expression" dxfId="234" priority="38">
      <formula>OR(IF($E4="Hela hallen",1))</formula>
    </cfRule>
  </conditionalFormatting>
  <conditionalFormatting sqref="L1:T1048576">
    <cfRule type="cellIs" dxfId="233" priority="33" operator="equal">
      <formula>"-"</formula>
    </cfRule>
  </conditionalFormatting>
  <conditionalFormatting sqref="A21">
    <cfRule type="expression" dxfId="232" priority="1238">
      <formula>OR(IF($A15="Dag",1))</formula>
    </cfRule>
  </conditionalFormatting>
  <conditionalFormatting sqref="B21">
    <cfRule type="expression" dxfId="231" priority="1242">
      <formula>OR(IF($B15="Datum",1))</formula>
    </cfRule>
  </conditionalFormatting>
  <conditionalFormatting sqref="C3:E3">
    <cfRule type="expression" dxfId="230" priority="19">
      <formula>OR(IF($E3="Hela hallen",1))</formula>
    </cfRule>
  </conditionalFormatting>
  <conditionalFormatting sqref="C8:E8">
    <cfRule type="expression" dxfId="229" priority="17">
      <formula>OR(IF($E8="Hela hallen",1))</formula>
    </cfRule>
  </conditionalFormatting>
  <conditionalFormatting sqref="C26:E26">
    <cfRule type="expression" dxfId="228" priority="15">
      <formula>OR(IF($E26="Hela hallen",1))</formula>
    </cfRule>
  </conditionalFormatting>
  <conditionalFormatting sqref="C34:E34">
    <cfRule type="expression" dxfId="227" priority="13">
      <formula>OR(IF($E34="Hela hallen",1))</formula>
    </cfRule>
  </conditionalFormatting>
  <conditionalFormatting sqref="A36">
    <cfRule type="expression" dxfId="226" priority="2376">
      <formula>OR(IF($A35="Dag",1))</formula>
    </cfRule>
  </conditionalFormatting>
  <conditionalFormatting sqref="B36">
    <cfRule type="expression" dxfId="225" priority="2380">
      <formula>OR(IF($B35="Datum",1))</formula>
    </cfRule>
  </conditionalFormatting>
  <conditionalFormatting sqref="C6:E6">
    <cfRule type="expression" dxfId="224" priority="11">
      <formula>OR(IF($E6="Hela hallen",1))</formula>
    </cfRule>
  </conditionalFormatting>
  <conditionalFormatting sqref="C31:E31">
    <cfRule type="expression" dxfId="223" priority="9">
      <formula>OR(IF($E31="Hela hallen",1))</formula>
    </cfRule>
  </conditionalFormatting>
  <conditionalFormatting sqref="E23">
    <cfRule type="expression" dxfId="222" priority="7">
      <formula>OR(IF($E23="Hela hallen",1))</formula>
    </cfRule>
  </conditionalFormatting>
  <conditionalFormatting sqref="A29">
    <cfRule type="expression" dxfId="221" priority="2548">
      <formula>OR(IF($A27="Dag",1))</formula>
    </cfRule>
  </conditionalFormatting>
  <conditionalFormatting sqref="B29">
    <cfRule type="expression" dxfId="220" priority="2549">
      <formula>OR(IF($B27="Datum",1))</formula>
    </cfRule>
  </conditionalFormatting>
  <conditionalFormatting sqref="C40:E40">
    <cfRule type="expression" dxfId="219" priority="1">
      <formula>OR(IF($E40="Hela hallen",1))</formula>
    </cfRule>
  </conditionalFormatting>
  <conditionalFormatting sqref="A3 A5">
    <cfRule type="cellIs" dxfId="216" priority="3389" operator="equal">
      <formula>"Datum"</formula>
    </cfRule>
    <cfRule type="cellIs" dxfId="215" priority="3390" operator="equal">
      <formula>"Dag"</formula>
    </cfRule>
    <cfRule type="expression" dxfId="214" priority="3391">
      <formula>OR(IF(#REF!="Dag",1))</formula>
    </cfRule>
  </conditionalFormatting>
  <conditionalFormatting sqref="B3:B5 B9 B39">
    <cfRule type="expression" dxfId="213" priority="3397">
      <formula>OR(IF(#REF!="Datum",1))</formula>
    </cfRule>
  </conditionalFormatting>
  <conditionalFormatting sqref="C3:F40">
    <cfRule type="expression" dxfId="211" priority="3404">
      <formula>OR(IF(#REF!=TRUE,1))</formula>
    </cfRule>
  </conditionalFormatting>
  <conditionalFormatting sqref="A4 A9">
    <cfRule type="expression" dxfId="210" priority="3405">
      <formula>OR(IF(#REF!="Dag",1))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5085D558-54DC-4CB4-9990-297A3DCF3A5F}">
            <xm:f>AND(IF(ISERROR(MATCH($B6,Kalenderår!$A$3:$A$17,0)),FALSE,TRUE), IF($B5="Datum",TRUE,FALSE), IF($A5="Dag",TRUE,FALSE))</xm:f>
            <x14:dxf>
              <font>
                <color rgb="FFC00000"/>
              </font>
            </x14:dxf>
          </x14:cfRule>
          <xm:sqref>A6:B8 A10:B20 A22:B28 A30:B38 A40:B40</xm:sqref>
        </x14:conditionalFormatting>
        <x14:conditionalFormatting xmlns:xm="http://schemas.microsoft.com/office/excel/2006/main">
          <x14:cfRule type="expression" priority="2389" id="{0C6175C9-2B50-4161-A899-71087932FD4A}">
            <xm:f>AND(IF(ISERROR(MATCH($B29,Kalenderår!$A$3:$A$17,0)),FALSE,TRUE), IF($B27="Datum",TRUE,FALSE), IF($A27="Dag",TRUE,FALSE))</xm:f>
            <x14:dxf>
              <font>
                <color rgb="FFC00000"/>
              </font>
            </x14:dxf>
          </x14:cfRule>
          <xm:sqref>A29:B29</xm:sqref>
        </x14:conditionalFormatting>
        <x14:conditionalFormatting xmlns:xm="http://schemas.microsoft.com/office/excel/2006/main">
          <x14:cfRule type="expression" priority="3402" id="{5085D558-54DC-4CB4-9990-297A3DCF3A5F}">
            <xm:f>AND(IF(ISERROR(MATCH($B3,Kalenderår!$A$3:$A$17,0)),FALSE,TRUE), IF(#REF!="Datum",TRUE,FALSE), IF(#REF!="Dag",TRUE,FALSE))</xm:f>
            <x14:dxf>
              <font>
                <color rgb="FFC00000"/>
              </font>
            </x14:dxf>
          </x14:cfRule>
          <xm:sqref>A3:B5 A9:B9 A39:B39</xm:sqref>
        </x14:conditionalFormatting>
        <x14:conditionalFormatting xmlns:xm="http://schemas.microsoft.com/office/excel/2006/main">
          <x14:cfRule type="expression" priority="3413" id="{0C6175C9-2B50-4161-A899-71087932FD4A}">
            <xm:f>AND(IF(ISERROR(MATCH($B21,Kalenderår!$A$3:$A$17,0)),FALSE,TRUE), IF($B15="Datum",TRUE,FALSE), IF($A15="Dag",TRUE,FALSE))</xm:f>
            <x14:dxf>
              <font>
                <color rgb="FFC00000"/>
              </font>
            </x14:dxf>
          </x14:cfRule>
          <xm:sqref>A21:B21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D84B1A2-F8B0-4ADD-BBC9-037105F424D0}">
          <x14:formula1>
            <xm:f>Kontaktuppgifter!$A$2:$A$300</xm:f>
          </x14:formula1>
          <xm:sqref>F10:F20 F37:F38 F30:F35 F22:F28 F40 F3 F5:F8</xm:sqref>
        </x14:dataValidation>
        <x14:dataValidation type="list" allowBlank="1" showInputMessage="1" showErrorMessage="1" xr:uid="{D26B21E9-92EB-47C1-99EB-20D3438EBBE2}">
          <x14:formula1>
            <xm:f>Listor!$A$2:$A$150</xm:f>
          </x14:formula1>
          <xm:sqref>E30:E35 E10:E20 E37:E38 E22:E28 E40 E3 E5:E8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CB34F-C1AA-4062-9FBC-AD785772B980}">
  <sheetPr codeName="Blad45"/>
  <dimension ref="A1:Y33"/>
  <sheetViews>
    <sheetView showGridLines="0" zoomScaleNormal="100" workbookViewId="0">
      <pane ySplit="2" topLeftCell="A34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Måndag44</f>
        <v>45957</v>
      </c>
      <c r="W1" s="33">
        <f>Söndag44</f>
        <v>45963</v>
      </c>
      <c r="X1" s="34">
        <f>WEEKNUM(Söndag44, 2)</f>
        <v>44</v>
      </c>
      <c r="Y1" s="35" t="str">
        <f>"V. "&amp;X1&amp;", "&amp;TEXT(V1,"D MMM")&amp;"-"&amp;TEXT(W1,"D MMM")</f>
        <v>V. 44, 27 okt-2 nov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Måndag44</f>
        <v>45957</v>
      </c>
      <c r="C3" s="40">
        <v>0.70833333333333337</v>
      </c>
      <c r="D3" s="41">
        <v>0.83333333333333337</v>
      </c>
      <c r="E3" s="42"/>
      <c r="F3" s="43" t="s">
        <v>873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 t="shared" ref="A5" si="2">PROPER(TEXT(B5, "dddd"))</f>
        <v>Tisdag</v>
      </c>
      <c r="B5" s="195">
        <f t="shared" ref="B5" si="3">Tisdag44</f>
        <v>45958</v>
      </c>
      <c r="C5" s="40">
        <v>0.375</v>
      </c>
      <c r="D5" s="48">
        <v>0.4375</v>
      </c>
      <c r="E5" s="49">
        <v>33</v>
      </c>
      <c r="F5" s="50" t="s">
        <v>507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5"/>
      <c r="C6" s="40">
        <v>0.5625</v>
      </c>
      <c r="D6" s="48">
        <v>0.64583333333333337</v>
      </c>
      <c r="E6" s="49"/>
      <c r="F6" s="50" t="s">
        <v>587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/>
      <c r="B7" s="195"/>
      <c r="C7" s="40">
        <v>0.70833333333333337</v>
      </c>
      <c r="D7" s="48">
        <v>0.83333333333333337</v>
      </c>
      <c r="E7" s="49"/>
      <c r="F7" s="50" t="s">
        <v>873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193" t="s">
        <v>0</v>
      </c>
      <c r="B8" s="195" t="s">
        <v>1</v>
      </c>
      <c r="C8" s="44" t="s">
        <v>824</v>
      </c>
      <c r="D8" s="45" t="s">
        <v>2</v>
      </c>
      <c r="E8" s="46" t="s">
        <v>3</v>
      </c>
      <c r="F8" s="47" t="s">
        <v>4</v>
      </c>
    </row>
    <row r="9" spans="1:25" ht="15" customHeight="1" x14ac:dyDescent="0.3">
      <c r="A9" s="193" t="str">
        <f t="shared" ref="A9" si="4">PROPER(TEXT(B9, "dddd"))</f>
        <v>Onsdag</v>
      </c>
      <c r="B9" s="195">
        <f t="shared" ref="B9" si="5">Onsdag44</f>
        <v>45959</v>
      </c>
      <c r="C9" s="40">
        <v>0.375</v>
      </c>
      <c r="D9" s="48">
        <v>0.45833333333333331</v>
      </c>
      <c r="E9" s="49"/>
      <c r="F9" s="50" t="s">
        <v>737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0.41666666666666669</v>
      </c>
      <c r="D10" s="48">
        <v>0.5</v>
      </c>
      <c r="E10" s="49"/>
      <c r="F10" s="50" t="s">
        <v>643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0.55555555555555558</v>
      </c>
      <c r="D11" s="48">
        <v>0.63888888888888884</v>
      </c>
      <c r="E11" s="49"/>
      <c r="F11" s="50" t="s">
        <v>28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0.55555555555555558</v>
      </c>
      <c r="D12" s="48">
        <v>0.63888888888888884</v>
      </c>
      <c r="E12" s="49"/>
      <c r="F12" s="50" t="s">
        <v>776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0.70833333333333337</v>
      </c>
      <c r="D13" s="48">
        <v>0.83333333333333337</v>
      </c>
      <c r="E13" s="49"/>
      <c r="F13" s="50" t="s">
        <v>873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hidden="1" customHeight="1" x14ac:dyDescent="0.3">
      <c r="A14" s="193" t="s">
        <v>0</v>
      </c>
      <c r="B14" s="195" t="s">
        <v>1</v>
      </c>
      <c r="C14" s="44" t="s">
        <v>824</v>
      </c>
      <c r="D14" s="45" t="s">
        <v>2</v>
      </c>
      <c r="E14" s="46" t="s">
        <v>3</v>
      </c>
      <c r="F14" s="47" t="s">
        <v>4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193" t="str">
        <f t="shared" ref="A15" si="6">PROPER(TEXT(B15, "dddd"))</f>
        <v>Torsdag</v>
      </c>
      <c r="B15" s="195">
        <f t="shared" ref="B15" si="7">Torsdag44</f>
        <v>45960</v>
      </c>
      <c r="C15" s="40">
        <v>0.375</v>
      </c>
      <c r="D15" s="48">
        <v>0.4375</v>
      </c>
      <c r="E15" s="49" t="s">
        <v>72</v>
      </c>
      <c r="F15" s="50" t="s">
        <v>507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193"/>
      <c r="B16" s="195"/>
      <c r="C16" s="40">
        <v>0.41666666666666669</v>
      </c>
      <c r="D16" s="48">
        <v>0.5</v>
      </c>
      <c r="E16" s="49"/>
      <c r="F16" s="50" t="s">
        <v>238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0.5625</v>
      </c>
      <c r="D17" s="48">
        <v>0.64583333333333337</v>
      </c>
      <c r="E17" s="49"/>
      <c r="F17" s="50" t="s">
        <v>218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/>
      <c r="B18" s="195"/>
      <c r="C18" s="40">
        <v>0.70833333333333337</v>
      </c>
      <c r="D18" s="48">
        <v>0.83333333333333337</v>
      </c>
      <c r="E18" s="49"/>
      <c r="F18" s="50" t="s">
        <v>873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hidden="1" customHeight="1" x14ac:dyDescent="0.3">
      <c r="A19" s="193" t="s">
        <v>0</v>
      </c>
      <c r="B19" s="195" t="s">
        <v>1</v>
      </c>
      <c r="C19" s="44" t="s">
        <v>824</v>
      </c>
      <c r="D19" s="45" t="s">
        <v>2</v>
      </c>
      <c r="E19" s="46" t="s">
        <v>3</v>
      </c>
      <c r="F19" s="47" t="s">
        <v>4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 t="str">
        <f t="shared" ref="A20" si="8">PROPER(TEXT(B20, "dddd"))</f>
        <v>Fredag</v>
      </c>
      <c r="B20" s="195">
        <f t="shared" ref="B20" si="9">Fredag44</f>
        <v>45961</v>
      </c>
      <c r="C20" s="40">
        <v>0.375</v>
      </c>
      <c r="D20" s="48">
        <v>0.44791666666666669</v>
      </c>
      <c r="E20" s="49"/>
      <c r="F20" s="50" t="s">
        <v>508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193"/>
      <c r="B21" s="195"/>
      <c r="C21" s="40">
        <v>0.41666666666666669</v>
      </c>
      <c r="D21" s="48">
        <v>0.5</v>
      </c>
      <c r="E21" s="49"/>
      <c r="F21" s="50" t="s">
        <v>629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193"/>
      <c r="B22" s="195"/>
      <c r="C22" s="40">
        <v>0.44791666666666669</v>
      </c>
      <c r="D22" s="48">
        <v>0.51041666666666663</v>
      </c>
      <c r="E22" s="49">
        <v>13</v>
      </c>
      <c r="F22" s="50" t="s">
        <v>507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193"/>
      <c r="B23" s="195"/>
      <c r="C23" s="40">
        <v>0.45833333333333331</v>
      </c>
      <c r="D23" s="48">
        <v>0.54166666666666663</v>
      </c>
      <c r="E23" s="49"/>
      <c r="F23" s="50" t="s">
        <v>800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193"/>
      <c r="B24" s="195"/>
      <c r="C24" s="40">
        <v>0.70833333333333337</v>
      </c>
      <c r="D24" s="48">
        <v>0.83333333333333337</v>
      </c>
      <c r="E24" s="49"/>
      <c r="F24" s="50" t="s">
        <v>873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hidden="1" customHeight="1" x14ac:dyDescent="0.3">
      <c r="A25" s="193" t="s">
        <v>0</v>
      </c>
      <c r="B25" s="195" t="s">
        <v>1</v>
      </c>
      <c r="C25" s="44" t="s">
        <v>824</v>
      </c>
      <c r="D25" s="45" t="s">
        <v>2</v>
      </c>
      <c r="E25" s="46" t="s">
        <v>3</v>
      </c>
      <c r="F25" s="47" t="s">
        <v>4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 t="str">
        <f t="shared" ref="A26" si="10">PROPER(TEXT(B26, "dddd"))</f>
        <v>Lördag</v>
      </c>
      <c r="B26" s="195">
        <f t="shared" ref="B26" si="11">Lördag44</f>
        <v>45962</v>
      </c>
      <c r="C26" s="40">
        <v>0.375</v>
      </c>
      <c r="D26" s="48">
        <v>0.625</v>
      </c>
      <c r="E26" s="49"/>
      <c r="F26" s="50" t="s">
        <v>873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193"/>
      <c r="B27" s="195"/>
      <c r="C27" s="40">
        <v>0.625</v>
      </c>
      <c r="D27" s="48">
        <v>0.66666666666666663</v>
      </c>
      <c r="E27" s="49"/>
      <c r="F27" s="50" t="s">
        <v>561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hidden="1" customHeight="1" x14ac:dyDescent="0.3">
      <c r="A28" s="193" t="s">
        <v>0</v>
      </c>
      <c r="B28" s="195" t="s">
        <v>1</v>
      </c>
      <c r="C28" s="44" t="s">
        <v>824</v>
      </c>
      <c r="D28" s="45" t="s">
        <v>2</v>
      </c>
      <c r="E28" s="46" t="s">
        <v>3</v>
      </c>
      <c r="F28" s="47" t="s">
        <v>4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193" t="str">
        <f t="shared" ref="A29" si="12">PROPER(TEXT(B29, "dddd"))</f>
        <v>Söndag</v>
      </c>
      <c r="B29" s="195">
        <f t="shared" ref="B29" si="13">Söndag44</f>
        <v>45963</v>
      </c>
      <c r="C29" s="40">
        <v>0.375</v>
      </c>
      <c r="D29" s="48">
        <v>0.79166666666666663</v>
      </c>
      <c r="E29" s="49"/>
      <c r="F29" s="50" t="s">
        <v>873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1" spans="1:24" ht="15" customHeight="1" x14ac:dyDescent="0.3">
      <c r="C31" s="40"/>
      <c r="D31" s="41"/>
    </row>
    <row r="32" spans="1:24" ht="15" customHeight="1" x14ac:dyDescent="0.3">
      <c r="C32" s="40"/>
      <c r="D32" s="8"/>
    </row>
    <row r="33" spans="3:4" ht="15" customHeight="1" x14ac:dyDescent="0.3">
      <c r="C33" s="40"/>
      <c r="D33" s="8"/>
    </row>
  </sheetData>
  <sheetProtection algorithmName="SHA-512" hashValue="wLw6hOZcDeHu5Gq2rmhuO7KzGODH6Hii+LqnZHgeCDvlDYHXvsnnm9P3t9uxbygRUcG3hGwb8nVO5qVjQR/MYg==" saltValue="zw3ppI0yt87RB7KiIXB/xw==" spinCount="100000" sheet="1" objects="1" scenarios="1" autoFilter="0" pivotTables="0"/>
  <sortState xmlns:xlrd2="http://schemas.microsoft.com/office/spreadsheetml/2017/richdata2" ref="A20:F24">
    <sortCondition ref="C20:C24"/>
  </sortState>
  <conditionalFormatting sqref="A3 A5:A7 A15:A18 A20:A24 A26:A27 A29 A9:A13">
    <cfRule type="cellIs" dxfId="208" priority="7" operator="equal">
      <formula>"Datum"</formula>
    </cfRule>
    <cfRule type="cellIs" dxfId="207" priority="8" operator="equal">
      <formula>"Dag"</formula>
    </cfRule>
    <cfRule type="expression" dxfId="206" priority="10">
      <formula>OR(IF($A2="Dag",1))</formula>
    </cfRule>
  </conditionalFormatting>
  <conditionalFormatting sqref="A28">
    <cfRule type="expression" dxfId="205" priority="28">
      <formula>OR(IF(#REF!="Dag",1))</formula>
    </cfRule>
  </conditionalFormatting>
  <conditionalFormatting sqref="A1:B2 B3 A4:B4 B5:B7 A8:B8 A14:B14 B15:B18 A19:B19 B20:B24 A25:B25 B26:B27 A28:B28 B29 A30:B1048576 B9:B13">
    <cfRule type="cellIs" dxfId="204" priority="20" operator="equal">
      <formula>"Datum"</formula>
    </cfRule>
    <cfRule type="cellIs" dxfId="203" priority="21" operator="equal">
      <formula>"Dag"</formula>
    </cfRule>
  </conditionalFormatting>
  <conditionalFormatting sqref="B3 B5:B7 B9:B13 B15:B18 B20:B24 B26:B27 B29">
    <cfRule type="expression" dxfId="202" priority="27">
      <formula>OR(IF($B2="Datum",1))</formula>
    </cfRule>
  </conditionalFormatting>
  <conditionalFormatting sqref="C15:D15 C3:E5 C7:E14 C16:E19 C21:E29">
    <cfRule type="expression" dxfId="201" priority="24">
      <formula>OR(IF($E3="Hela hallen",1))</formula>
    </cfRule>
  </conditionalFormatting>
  <conditionalFormatting sqref="L1:T1048576">
    <cfRule type="cellIs" dxfId="200" priority="19" operator="equal">
      <formula>"-"</formula>
    </cfRule>
  </conditionalFormatting>
  <conditionalFormatting sqref="A14 A19 A25">
    <cfRule type="expression" dxfId="199" priority="1241">
      <formula>OR(IF(#REF!="Dag",1))</formula>
    </cfRule>
  </conditionalFormatting>
  <conditionalFormatting sqref="B14 B19 B25 B28">
    <cfRule type="expression" dxfId="198" priority="1245">
      <formula>OR(IF(#REF!="Datum",1))</formula>
    </cfRule>
  </conditionalFormatting>
  <conditionalFormatting sqref="C6:E6">
    <cfRule type="expression" dxfId="197" priority="5">
      <formula>OR(IF($E6="Hela hallen",1))</formula>
    </cfRule>
  </conditionalFormatting>
  <conditionalFormatting sqref="C20:E20">
    <cfRule type="expression" dxfId="196" priority="3">
      <formula>OR(IF($E20="Hela hallen",1))</formula>
    </cfRule>
  </conditionalFormatting>
  <conditionalFormatting sqref="E15">
    <cfRule type="expression" dxfId="195" priority="1">
      <formula>OR(IF($E15="Hela hallen",1))</formula>
    </cfRule>
  </conditionalFormatting>
  <conditionalFormatting sqref="C3:F29">
    <cfRule type="expression" dxfId="193" priority="3415">
      <formula>OR(IF(#REF!=TRUE,1))</formula>
    </cfRule>
  </conditionalFormatting>
  <conditionalFormatting sqref="A4 A8">
    <cfRule type="expression" dxfId="192" priority="3416">
      <formula>OR(IF(#REF!="Dag",1))</formula>
    </cfRule>
  </conditionalFormatting>
  <conditionalFormatting sqref="B4 B8">
    <cfRule type="expression" dxfId="191" priority="3418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CF62CDD-9962-45B0-8B4B-E8E0343426BF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A5:B7 A9:B13 A15:B18 A20:B24 A26:B27 A29:B29</xm:sqref>
        </x14:conditionalFormatting>
        <x14:conditionalFormatting xmlns:xm="http://schemas.microsoft.com/office/excel/2006/main">
          <x14:cfRule type="expression" priority="3427" id="{59E3DE2C-1C27-4CC4-9997-0E73777AE333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A8:B8 A14:B14 A19:B19 A25:B25 A28:B28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24BB91-103F-46E4-98A3-4D71A015EDFF}">
          <x14:formula1>
            <xm:f>Listor!$A$2:$A$150</xm:f>
          </x14:formula1>
          <xm:sqref>E3 E9:E13 E20:E24 E5:E7 E26:E27 E29 E15:E18</xm:sqref>
        </x14:dataValidation>
        <x14:dataValidation type="list" allowBlank="1" showInputMessage="1" showErrorMessage="1" xr:uid="{28A7BC9C-3A94-4BB7-86DB-9E978510042A}">
          <x14:formula1>
            <xm:f>Kontaktuppgifter!$A$2:$A$300</xm:f>
          </x14:formula1>
          <xm:sqref>F3 F9:F13 F15:F18 F5:F7 F26:F27 F29 F20:F24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37332-E85C-4A4F-982A-E1080BD9FD7E}">
  <sheetPr codeName="Blad46"/>
  <dimension ref="A1:Y45"/>
  <sheetViews>
    <sheetView showGridLines="0" zoomScaleNormal="100" workbookViewId="0">
      <pane ySplit="2" topLeftCell="A16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Måndag45</f>
        <v>45964</v>
      </c>
      <c r="W1" s="33">
        <f>Söndag45</f>
        <v>45970</v>
      </c>
      <c r="X1" s="34">
        <f>WEEKNUM(Söndag45, 2)</f>
        <v>45</v>
      </c>
      <c r="Y1" s="35" t="str">
        <f>"V. "&amp;X1&amp;", "&amp;TEXT(V1,"D MMM")&amp;"-"&amp;TEXT(W1,"D MMM")</f>
        <v>V. 45, 3 nov-9 nov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Måndag45</f>
        <v>45964</v>
      </c>
      <c r="C3" s="40">
        <v>0.70833333333333337</v>
      </c>
      <c r="D3" s="41">
        <v>0.83333333333333337</v>
      </c>
      <c r="E3" s="42"/>
      <c r="F3" s="43" t="s">
        <v>873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193"/>
      <c r="B4" s="194"/>
      <c r="C4" s="40">
        <v>0.70833333333333337</v>
      </c>
      <c r="D4" s="41">
        <v>0.875</v>
      </c>
      <c r="E4" s="42"/>
      <c r="F4" s="43" t="s">
        <v>945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s="10" customFormat="1" ht="20.100000000000001" hidden="1" customHeight="1" x14ac:dyDescent="0.3">
      <c r="A5" s="193" t="s">
        <v>0</v>
      </c>
      <c r="B5" s="195" t="s">
        <v>1</v>
      </c>
      <c r="C5" s="44" t="s">
        <v>824</v>
      </c>
      <c r="D5" s="45" t="s">
        <v>2</v>
      </c>
      <c r="E5" s="46" t="s">
        <v>3</v>
      </c>
      <c r="F5" s="47" t="s">
        <v>4</v>
      </c>
    </row>
    <row r="6" spans="1:25" ht="15" customHeight="1" x14ac:dyDescent="0.3">
      <c r="A6" s="193" t="str">
        <f t="shared" ref="A6" si="2">PROPER(TEXT(B6, "dddd"))</f>
        <v>Tisdag</v>
      </c>
      <c r="B6" s="195">
        <f t="shared" ref="B6" si="3">Tisdag45</f>
        <v>45965</v>
      </c>
      <c r="C6" s="40">
        <v>0.375</v>
      </c>
      <c r="D6" s="48">
        <v>0.4375</v>
      </c>
      <c r="E6" s="49">
        <v>33</v>
      </c>
      <c r="F6" s="50" t="s">
        <v>507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/>
      <c r="B7" s="195"/>
      <c r="C7" s="40">
        <v>0.5</v>
      </c>
      <c r="D7" s="48">
        <v>0.625</v>
      </c>
      <c r="E7" s="49" t="s">
        <v>78</v>
      </c>
      <c r="F7" s="50" t="s">
        <v>567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193"/>
      <c r="B8" s="195"/>
      <c r="C8" s="40">
        <v>0.5625</v>
      </c>
      <c r="D8" s="48">
        <v>0.64583333333333337</v>
      </c>
      <c r="E8" s="49"/>
      <c r="F8" s="50" t="s">
        <v>587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193"/>
      <c r="B9" s="195"/>
      <c r="C9" s="40">
        <v>0.70833333333333337</v>
      </c>
      <c r="D9" s="48">
        <v>0.83333333333333337</v>
      </c>
      <c r="E9" s="49"/>
      <c r="F9" s="50" t="s">
        <v>873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0.70833333333333337</v>
      </c>
      <c r="D10" s="41">
        <v>0.875</v>
      </c>
      <c r="E10" s="42"/>
      <c r="F10" s="43" t="s">
        <v>945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hidden="1" customHeight="1" x14ac:dyDescent="0.3">
      <c r="A11" s="193" t="s">
        <v>0</v>
      </c>
      <c r="B11" s="195" t="s">
        <v>1</v>
      </c>
      <c r="C11" s="44" t="s">
        <v>824</v>
      </c>
      <c r="D11" s="45" t="s">
        <v>2</v>
      </c>
      <c r="E11" s="46" t="s">
        <v>3</v>
      </c>
      <c r="F11" s="47" t="s">
        <v>4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 t="str">
        <f t="shared" ref="A12" si="4">PROPER(TEXT(B12, "dddd"))</f>
        <v>Onsdag</v>
      </c>
      <c r="B12" s="195">
        <f t="shared" ref="B12" si="5">Onsdag45</f>
        <v>45966</v>
      </c>
      <c r="C12" s="40">
        <v>0.375</v>
      </c>
      <c r="D12" s="48">
        <v>0.45833333333333331</v>
      </c>
      <c r="E12" s="49"/>
      <c r="F12" s="50" t="s">
        <v>737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0.41666666666666669</v>
      </c>
      <c r="D13" s="48">
        <v>0.5</v>
      </c>
      <c r="E13" s="49"/>
      <c r="F13" s="50" t="s">
        <v>643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/>
      <c r="B14" s="195"/>
      <c r="C14" s="40">
        <v>0.4375</v>
      </c>
      <c r="D14" s="48">
        <v>0.47916666666666669</v>
      </c>
      <c r="E14" s="49" t="s">
        <v>79</v>
      </c>
      <c r="F14" s="50" t="s">
        <v>529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193"/>
      <c r="B15" s="195"/>
      <c r="C15" s="40">
        <v>0.53125</v>
      </c>
      <c r="D15" s="48">
        <v>0.57291666666666663</v>
      </c>
      <c r="E15" s="49">
        <v>32</v>
      </c>
      <c r="F15" s="50" t="s">
        <v>529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193"/>
      <c r="B16" s="195"/>
      <c r="C16" s="40">
        <v>0.55555555555555558</v>
      </c>
      <c r="D16" s="48">
        <v>0.63888888888888884</v>
      </c>
      <c r="E16" s="49"/>
      <c r="F16" s="50" t="s">
        <v>28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s="10" customFormat="1" ht="15" customHeight="1" x14ac:dyDescent="0.3">
      <c r="A17" s="193"/>
      <c r="B17" s="195"/>
      <c r="C17" s="40">
        <v>0.55555555555555558</v>
      </c>
      <c r="D17" s="41">
        <v>0.63888888888888884</v>
      </c>
      <c r="E17" s="42"/>
      <c r="F17" s="43" t="s">
        <v>776</v>
      </c>
    </row>
    <row r="18" spans="1:24" ht="15" customHeight="1" x14ac:dyDescent="0.3">
      <c r="A18" s="193"/>
      <c r="B18" s="195"/>
      <c r="C18" s="40">
        <v>0.59375</v>
      </c>
      <c r="D18" s="48">
        <v>0.63541666666666663</v>
      </c>
      <c r="E18" s="49" t="s">
        <v>72</v>
      </c>
      <c r="F18" s="50" t="s">
        <v>529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/>
      <c r="B19" s="195"/>
      <c r="C19" s="40">
        <v>0.70833333333333337</v>
      </c>
      <c r="D19" s="48">
        <v>0.83333333333333337</v>
      </c>
      <c r="E19" s="49"/>
      <c r="F19" s="50" t="s">
        <v>873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/>
      <c r="B20" s="195"/>
      <c r="C20" s="40">
        <v>0.70833333333333337</v>
      </c>
      <c r="D20" s="48">
        <v>0.875</v>
      </c>
      <c r="E20" s="49"/>
      <c r="F20" s="50" t="s">
        <v>945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hidden="1" customHeight="1" x14ac:dyDescent="0.3">
      <c r="A21" s="193" t="s">
        <v>0</v>
      </c>
      <c r="B21" s="195" t="s">
        <v>1</v>
      </c>
      <c r="C21" s="44" t="s">
        <v>824</v>
      </c>
      <c r="D21" s="45" t="s">
        <v>2</v>
      </c>
      <c r="E21" s="46" t="s">
        <v>3</v>
      </c>
      <c r="F21" s="47" t="s">
        <v>4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193" t="str">
        <f t="shared" ref="A22" si="6">PROPER(TEXT(B22, "dddd"))</f>
        <v>Torsdag</v>
      </c>
      <c r="B22" s="195">
        <f t="shared" ref="B22" si="7">Torsdag45</f>
        <v>45967</v>
      </c>
      <c r="C22" s="40">
        <v>0.375</v>
      </c>
      <c r="D22" s="48">
        <v>0.4375</v>
      </c>
      <c r="E22" s="49" t="s">
        <v>72</v>
      </c>
      <c r="F22" s="50" t="s">
        <v>507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s="10" customFormat="1" ht="15" customHeight="1" x14ac:dyDescent="0.3">
      <c r="A23" s="193"/>
      <c r="B23" s="195"/>
      <c r="C23" s="40">
        <v>0.41666666666666669</v>
      </c>
      <c r="D23" s="48">
        <v>0.5</v>
      </c>
      <c r="E23" s="49"/>
      <c r="F23" s="50" t="s">
        <v>238</v>
      </c>
    </row>
    <row r="24" spans="1:24" ht="15" customHeight="1" x14ac:dyDescent="0.3">
      <c r="A24" s="193"/>
      <c r="B24" s="195"/>
      <c r="C24" s="40">
        <v>0.5625</v>
      </c>
      <c r="D24" s="48">
        <v>0.64583333333333337</v>
      </c>
      <c r="E24" s="49"/>
      <c r="F24" s="50" t="s">
        <v>218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/>
      <c r="B25" s="195"/>
      <c r="C25" s="40">
        <v>0.70833333333333337</v>
      </c>
      <c r="D25" s="48">
        <v>0.83333333333333337</v>
      </c>
      <c r="E25" s="49"/>
      <c r="F25" s="50" t="s">
        <v>873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/>
      <c r="B26" s="195"/>
      <c r="C26" s="40">
        <v>0.83333333333333337</v>
      </c>
      <c r="D26" s="48">
        <v>0.90625</v>
      </c>
      <c r="E26" s="49" t="s">
        <v>91</v>
      </c>
      <c r="F26" s="50" t="s">
        <v>731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hidden="1" customHeight="1" x14ac:dyDescent="0.3">
      <c r="A27" s="193" t="s">
        <v>0</v>
      </c>
      <c r="B27" s="195" t="s">
        <v>1</v>
      </c>
      <c r="C27" s="44" t="s">
        <v>824</v>
      </c>
      <c r="D27" s="45" t="s">
        <v>2</v>
      </c>
      <c r="E27" s="46" t="s">
        <v>3</v>
      </c>
      <c r="F27" s="47" t="s">
        <v>4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193" t="str">
        <f t="shared" ref="A28" si="8">PROPER(TEXT(B28, "dddd"))</f>
        <v>Fredag</v>
      </c>
      <c r="B28" s="195">
        <f t="shared" ref="B28" si="9">Fredag45</f>
        <v>45968</v>
      </c>
      <c r="C28" s="40">
        <v>0.375</v>
      </c>
      <c r="D28" s="48">
        <v>0.44791666666666669</v>
      </c>
      <c r="E28" s="49"/>
      <c r="F28" s="50" t="s">
        <v>508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s="10" customFormat="1" ht="15" customHeight="1" x14ac:dyDescent="0.3">
      <c r="A29" s="193"/>
      <c r="B29" s="195"/>
      <c r="C29" s="40">
        <v>0.41666666666666669</v>
      </c>
      <c r="D29" s="48">
        <v>0.5</v>
      </c>
      <c r="E29" s="49"/>
      <c r="F29" s="50" t="s">
        <v>629</v>
      </c>
    </row>
    <row r="30" spans="1:24" ht="15" customHeight="1" x14ac:dyDescent="0.3">
      <c r="A30" s="193"/>
      <c r="B30" s="195"/>
      <c r="C30" s="40">
        <v>0.44791666666666669</v>
      </c>
      <c r="D30" s="48">
        <v>0.51041666666666663</v>
      </c>
      <c r="E30" s="49">
        <v>13</v>
      </c>
      <c r="F30" s="50" t="s">
        <v>507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193"/>
      <c r="B31" s="195"/>
      <c r="C31" s="40">
        <v>0.45833333333333331</v>
      </c>
      <c r="D31" s="48">
        <v>0.54166666666666663</v>
      </c>
      <c r="E31" s="49"/>
      <c r="F31" s="50" t="s">
        <v>800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193"/>
      <c r="B32" s="195"/>
      <c r="C32" s="40">
        <v>0.70833333333333337</v>
      </c>
      <c r="D32" s="48">
        <v>0.83333333333333337</v>
      </c>
      <c r="E32" s="49"/>
      <c r="F32" s="50" t="s">
        <v>873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hidden="1" customHeight="1" x14ac:dyDescent="0.3">
      <c r="A33" s="193" t="s">
        <v>0</v>
      </c>
      <c r="B33" s="195" t="s">
        <v>1</v>
      </c>
      <c r="C33" s="44" t="s">
        <v>824</v>
      </c>
      <c r="D33" s="45" t="s">
        <v>2</v>
      </c>
      <c r="E33" s="46" t="s">
        <v>3</v>
      </c>
      <c r="F33" s="47" t="s">
        <v>4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customHeight="1" x14ac:dyDescent="0.3">
      <c r="A34" s="193" t="str">
        <f t="shared" ref="A34" si="10">PROPER(TEXT(B34, "dddd"))</f>
        <v>Lördag</v>
      </c>
      <c r="B34" s="195">
        <f t="shared" ref="B34" si="11">Lördag45</f>
        <v>45969</v>
      </c>
      <c r="C34" s="40">
        <v>0.375</v>
      </c>
      <c r="D34" s="48">
        <v>0.625</v>
      </c>
      <c r="E34" s="49"/>
      <c r="F34" s="50" t="s">
        <v>873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s="10" customFormat="1" ht="15" customHeight="1" x14ac:dyDescent="0.3">
      <c r="A35" s="193"/>
      <c r="B35" s="195"/>
      <c r="C35" s="40">
        <v>0.375</v>
      </c>
      <c r="D35" s="41">
        <v>0.70833333333333337</v>
      </c>
      <c r="E35" s="42" t="s">
        <v>117</v>
      </c>
      <c r="F35" s="43" t="s">
        <v>999</v>
      </c>
    </row>
    <row r="36" spans="1:24" ht="15" customHeight="1" x14ac:dyDescent="0.3">
      <c r="A36" s="193"/>
      <c r="B36" s="195"/>
      <c r="C36" s="40">
        <v>0.41666666666666669</v>
      </c>
      <c r="D36" s="48">
        <v>0.625</v>
      </c>
      <c r="E36" s="49"/>
      <c r="F36" s="50" t="s">
        <v>945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193"/>
      <c r="B37" s="195"/>
      <c r="C37" s="40">
        <v>0.625</v>
      </c>
      <c r="D37" s="48">
        <v>0.66666666666666663</v>
      </c>
      <c r="E37" s="49"/>
      <c r="F37" s="50" t="s">
        <v>561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8" spans="1:24" ht="15" hidden="1" customHeight="1" x14ac:dyDescent="0.3">
      <c r="A38" s="193" t="s">
        <v>0</v>
      </c>
      <c r="B38" s="195" t="s">
        <v>1</v>
      </c>
      <c r="C38" s="44" t="s">
        <v>824</v>
      </c>
      <c r="D38" s="45" t="s">
        <v>2</v>
      </c>
      <c r="E38" s="46" t="s">
        <v>3</v>
      </c>
      <c r="F38" s="47" t="s">
        <v>4</v>
      </c>
      <c r="G38"/>
      <c r="H38" s="1"/>
      <c r="I38" s="1"/>
      <c r="L38"/>
      <c r="M38"/>
      <c r="N38"/>
      <c r="O38"/>
      <c r="P38"/>
      <c r="Q38"/>
      <c r="R38"/>
      <c r="S38"/>
      <c r="T38"/>
      <c r="V38"/>
      <c r="W38"/>
      <c r="X38"/>
    </row>
    <row r="39" spans="1:24" ht="15" customHeight="1" x14ac:dyDescent="0.3">
      <c r="A39" s="193" t="str">
        <f t="shared" ref="A39" si="12">PROPER(TEXT(B39, "dddd"))</f>
        <v>Söndag</v>
      </c>
      <c r="B39" s="195">
        <f t="shared" ref="B39" si="13">Söndag45</f>
        <v>45970</v>
      </c>
      <c r="C39" s="40">
        <v>0.375</v>
      </c>
      <c r="D39" s="48">
        <v>0.79166666666666663</v>
      </c>
      <c r="E39" s="49"/>
      <c r="F39" s="50" t="s">
        <v>873</v>
      </c>
      <c r="G39"/>
      <c r="H39" s="1"/>
      <c r="I39" s="1"/>
      <c r="L39"/>
      <c r="M39"/>
      <c r="N39"/>
      <c r="O39"/>
      <c r="P39"/>
      <c r="Q39"/>
      <c r="R39"/>
      <c r="S39"/>
      <c r="T39"/>
      <c r="V39"/>
      <c r="W39"/>
      <c r="X39"/>
    </row>
    <row r="40" spans="1:24" ht="15" customHeight="1" x14ac:dyDescent="0.3">
      <c r="A40" s="193"/>
      <c r="B40" s="195"/>
      <c r="C40" s="40">
        <v>0.375</v>
      </c>
      <c r="D40" s="41">
        <v>0.70833333333333337</v>
      </c>
      <c r="E40" s="42" t="s">
        <v>117</v>
      </c>
      <c r="F40" s="43" t="s">
        <v>999</v>
      </c>
      <c r="G40"/>
      <c r="H40" s="1"/>
      <c r="I40" s="1"/>
      <c r="L40"/>
      <c r="M40"/>
      <c r="N40"/>
      <c r="O40"/>
      <c r="P40"/>
      <c r="Q40"/>
      <c r="R40"/>
      <c r="S40"/>
      <c r="T40"/>
      <c r="V40"/>
      <c r="W40"/>
      <c r="X40"/>
    </row>
    <row r="41" spans="1:24" ht="15" customHeight="1" x14ac:dyDescent="0.3">
      <c r="A41" s="193"/>
      <c r="B41" s="195"/>
      <c r="C41" s="40">
        <v>0.41666666666666669</v>
      </c>
      <c r="D41" s="48">
        <v>0.66666666666666663</v>
      </c>
      <c r="E41" s="49"/>
      <c r="F41" s="50" t="s">
        <v>945</v>
      </c>
      <c r="G41"/>
      <c r="H41" s="1"/>
      <c r="I41" s="1"/>
      <c r="L41"/>
      <c r="M41"/>
      <c r="N41"/>
      <c r="O41"/>
      <c r="P41"/>
      <c r="Q41"/>
      <c r="R41"/>
      <c r="S41"/>
      <c r="T41"/>
      <c r="V41"/>
      <c r="W41"/>
      <c r="X41"/>
    </row>
    <row r="43" spans="1:24" ht="15" customHeight="1" x14ac:dyDescent="0.3">
      <c r="C43" s="40"/>
      <c r="D43" s="41"/>
    </row>
    <row r="44" spans="1:24" ht="15" customHeight="1" x14ac:dyDescent="0.3">
      <c r="C44" s="40"/>
      <c r="D44" s="8"/>
    </row>
    <row r="45" spans="1:24" ht="15" customHeight="1" x14ac:dyDescent="0.3">
      <c r="C45" s="40"/>
      <c r="D45" s="8"/>
    </row>
  </sheetData>
  <sheetProtection algorithmName="SHA-512" hashValue="1vwwRaWVuoLzn5/9qJc49Ozs4cbl/UV3q3txsxNVzKjXWug9OFXj/5tTKkBrPEPtiCwV93Zmgt+Nq+OnUm0ijA==" saltValue="Dg8sz+RYMraf4cKpNq/0DA==" spinCount="100000" sheet="1" objects="1" scenarios="1" autoFilter="0" pivotTables="0"/>
  <sortState xmlns:xlrd2="http://schemas.microsoft.com/office/spreadsheetml/2017/richdata2" ref="A22:F26">
    <sortCondition ref="C22:C26"/>
  </sortState>
  <conditionalFormatting sqref="A3:A4 A22:A26 A28:A32 A34:A37 A39:A41 A12:A20 A6:A10">
    <cfRule type="cellIs" dxfId="189" priority="7" operator="equal">
      <formula>"Datum"</formula>
    </cfRule>
    <cfRule type="cellIs" dxfId="188" priority="8" operator="equal">
      <formula>"Dag"</formula>
    </cfRule>
    <cfRule type="expression" dxfId="187" priority="10">
      <formula>OR(IF($A2="Dag",1))</formula>
    </cfRule>
  </conditionalFormatting>
  <conditionalFormatting sqref="A38">
    <cfRule type="expression" dxfId="186" priority="28">
      <formula>OR(IF(#REF!="Dag",1))</formula>
    </cfRule>
  </conditionalFormatting>
  <conditionalFormatting sqref="A1:B2 B3:B4 A5:B5 A11:B11 A21:B21 B22:B26 A27:B27 B28:B32 A33:B33 B34:B37 A38:B38 B39:B41 A42:B1048576 B12:B20 B6:B10">
    <cfRule type="cellIs" dxfId="185" priority="20" operator="equal">
      <formula>"Datum"</formula>
    </cfRule>
    <cfRule type="cellIs" dxfId="184" priority="21" operator="equal">
      <formula>"Dag"</formula>
    </cfRule>
  </conditionalFormatting>
  <conditionalFormatting sqref="B12:B20 B3:B4 B6:B10 B22:B26 B28:B32 B34:B37 B39:B41">
    <cfRule type="expression" dxfId="183" priority="27">
      <formula>OR(IF($B2="Datum",1))</formula>
    </cfRule>
  </conditionalFormatting>
  <conditionalFormatting sqref="C22:D22 C3:E6 C8:E21 C23:E27 C29:E41">
    <cfRule type="expression" dxfId="182" priority="24">
      <formula>OR(IF($E3="Hela hallen",1))</formula>
    </cfRule>
  </conditionalFormatting>
  <conditionalFormatting sqref="L1:T1048576">
    <cfRule type="cellIs" dxfId="181" priority="19" operator="equal">
      <formula>"-"</formula>
    </cfRule>
  </conditionalFormatting>
  <conditionalFormatting sqref="A21">
    <cfRule type="expression" dxfId="180" priority="1258">
      <formula>OR(IF($A17="Dag",1))</formula>
    </cfRule>
  </conditionalFormatting>
  <conditionalFormatting sqref="B21">
    <cfRule type="expression" dxfId="179" priority="1262">
      <formula>OR(IF($B17="Datum",1))</formula>
    </cfRule>
  </conditionalFormatting>
  <conditionalFormatting sqref="A11 A27 A33">
    <cfRule type="expression" dxfId="178" priority="2158">
      <formula>OR(IF(#REF!="Dag",1))</formula>
    </cfRule>
  </conditionalFormatting>
  <conditionalFormatting sqref="B11 B27 B33 B38">
    <cfRule type="expression" dxfId="177" priority="2162">
      <formula>OR(IF(#REF!="Datum",1))</formula>
    </cfRule>
  </conditionalFormatting>
  <conditionalFormatting sqref="C7:E7">
    <cfRule type="expression" dxfId="176" priority="5">
      <formula>OR(IF($E7="Hela hallen",1))</formula>
    </cfRule>
  </conditionalFormatting>
  <conditionalFormatting sqref="C28:E28">
    <cfRule type="expression" dxfId="175" priority="3">
      <formula>OR(IF($E28="Hela hallen",1))</formula>
    </cfRule>
  </conditionalFormatting>
  <conditionalFormatting sqref="E22">
    <cfRule type="expression" dxfId="174" priority="1">
      <formula>OR(IF($E22="Hela hallen",1))</formula>
    </cfRule>
  </conditionalFormatting>
  <conditionalFormatting sqref="C3:F41">
    <cfRule type="expression" dxfId="172" priority="3429">
      <formula>OR(IF(#REF!=TRUE,1))</formula>
    </cfRule>
  </conditionalFormatting>
  <conditionalFormatting sqref="A5">
    <cfRule type="expression" dxfId="171" priority="3430">
      <formula>OR(IF(#REF!="Dag",1))</formula>
    </cfRule>
  </conditionalFormatting>
  <conditionalFormatting sqref="B5">
    <cfRule type="expression" dxfId="170" priority="3432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CE0876A-BEC2-4D45-8836-6AE37028AE18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A3:B4 A6:B10 A12:B20 A22:B26 A28:B32 A34:B37 A39:B41</xm:sqref>
        </x14:conditionalFormatting>
        <x14:conditionalFormatting xmlns:xm="http://schemas.microsoft.com/office/excel/2006/main">
          <x14:cfRule type="expression" priority="3441" id="{0FA6CEFA-E45C-4997-80F4-3047A75F86C3}">
            <xm:f>AND(IF(ISERROR(MATCH($B5,Kalenderår!$A$3:$A$17,0)),FALSE,TRUE),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A5:B5 A11:B11 A27:B27 A33:B33 A38:B38</xm:sqref>
        </x14:conditionalFormatting>
        <x14:conditionalFormatting xmlns:xm="http://schemas.microsoft.com/office/excel/2006/main">
          <x14:cfRule type="expression" priority="3449" id="{0FA6CEFA-E45C-4997-80F4-3047A75F86C3}">
            <xm:f>AND(IF(ISERROR(MATCH($B21,Kalenderår!$A$3:$A$17,0)),FALSE,TRUE), IF($B17="Datum",TRUE,FALSE), IF($A17="Dag",TRUE,FALSE))</xm:f>
            <x14:dxf>
              <font>
                <color rgb="FFC00000"/>
              </font>
            </x14:dxf>
          </x14:cfRule>
          <xm:sqref>A21:B21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92986C9-8D0C-4F60-ABEC-228F2E9EF3EA}">
          <x14:formula1>
            <xm:f>Kontaktuppgifter!$A$2:$A$300</xm:f>
          </x14:formula1>
          <xm:sqref>F3:F4 F22:F26 F6:F10 F34:F37 F39:F41 F12:F20 F28:F32</xm:sqref>
        </x14:dataValidation>
        <x14:dataValidation type="list" allowBlank="1" showInputMessage="1" showErrorMessage="1" xr:uid="{0D0A762C-294E-4957-A85F-31F25F9ED82B}">
          <x14:formula1>
            <xm:f>Listor!$A$2:$A$150</xm:f>
          </x14:formula1>
          <xm:sqref>E3:E4 E28:E32 E6:E10 E34:E37 E39:E41 E12:E20 E22:E26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B879-2807-4602-8884-ED169ACC8116}">
  <sheetPr codeName="Blad47"/>
  <dimension ref="A1:Y35"/>
  <sheetViews>
    <sheetView showGridLines="0" zoomScaleNormal="100" workbookViewId="0">
      <pane ySplit="2" topLeftCell="A10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Måndag46</f>
        <v>45971</v>
      </c>
      <c r="W1" s="33">
        <f>Söndag46</f>
        <v>45977</v>
      </c>
      <c r="X1" s="34">
        <f>WEEKNUM(Söndag46, 2)</f>
        <v>46</v>
      </c>
      <c r="Y1" s="35" t="str">
        <f>"V. "&amp;X1&amp;", "&amp;TEXT(V1,"D MMM")&amp;"-"&amp;TEXT(W1,"D MMM")</f>
        <v>V. 46, 10 nov-16 nov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Måndag46</f>
        <v>45971</v>
      </c>
      <c r="C3" s="40">
        <v>0.70833333333333337</v>
      </c>
      <c r="D3" s="41">
        <v>0.83333333333333337</v>
      </c>
      <c r="E3" s="42"/>
      <c r="F3" s="43" t="s">
        <v>873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 t="shared" ref="A5" si="2">PROPER(TEXT(B5, "dddd"))</f>
        <v>Tisdag</v>
      </c>
      <c r="B5" s="195">
        <f t="shared" ref="B5" si="3">Tisdag46</f>
        <v>45972</v>
      </c>
      <c r="C5" s="40">
        <v>0.375</v>
      </c>
      <c r="D5" s="48">
        <v>0.4375</v>
      </c>
      <c r="E5" s="49">
        <v>33</v>
      </c>
      <c r="F5" s="50" t="s">
        <v>507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5"/>
      <c r="C6" s="40">
        <v>0.5625</v>
      </c>
      <c r="D6" s="48">
        <v>0.64583333333333337</v>
      </c>
      <c r="E6" s="49"/>
      <c r="F6" s="50" t="s">
        <v>587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/>
      <c r="B7" s="195"/>
      <c r="C7" s="40">
        <v>0.70833333333333337</v>
      </c>
      <c r="D7" s="48">
        <v>0.83333333333333337</v>
      </c>
      <c r="E7" s="49"/>
      <c r="F7" s="50" t="s">
        <v>873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193" t="s">
        <v>0</v>
      </c>
      <c r="B8" s="195" t="s">
        <v>1</v>
      </c>
      <c r="C8" s="44" t="s">
        <v>824</v>
      </c>
      <c r="D8" s="45" t="s">
        <v>2</v>
      </c>
      <c r="E8" s="46" t="s">
        <v>3</v>
      </c>
      <c r="F8" s="47" t="s">
        <v>4</v>
      </c>
    </row>
    <row r="9" spans="1:25" ht="15" customHeight="1" x14ac:dyDescent="0.3">
      <c r="A9" s="193" t="str">
        <f t="shared" ref="A9" si="4">PROPER(TEXT(B9, "dddd"))</f>
        <v>Onsdag</v>
      </c>
      <c r="B9" s="195">
        <f t="shared" ref="B9" si="5">Onsdag46</f>
        <v>45973</v>
      </c>
      <c r="C9" s="40">
        <v>0.375</v>
      </c>
      <c r="D9" s="48">
        <v>0.45833333333333331</v>
      </c>
      <c r="E9" s="49"/>
      <c r="F9" s="50" t="s">
        <v>737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0.41666666666666669</v>
      </c>
      <c r="D10" s="48">
        <v>0.5</v>
      </c>
      <c r="E10" s="49"/>
      <c r="F10" s="50" t="s">
        <v>643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0.55555555555555558</v>
      </c>
      <c r="D11" s="48">
        <v>0.63888888888888884</v>
      </c>
      <c r="E11" s="49"/>
      <c r="F11" s="50" t="s">
        <v>28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0.55555555555555558</v>
      </c>
      <c r="D12" s="48">
        <v>0.63888888888888884</v>
      </c>
      <c r="E12" s="49"/>
      <c r="F12" s="50" t="s">
        <v>776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0.70833333333333337</v>
      </c>
      <c r="D13" s="48">
        <v>0.83333333333333337</v>
      </c>
      <c r="E13" s="49"/>
      <c r="F13" s="50" t="s">
        <v>873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hidden="1" customHeight="1" x14ac:dyDescent="0.3">
      <c r="A14" s="193" t="s">
        <v>0</v>
      </c>
      <c r="B14" s="195" t="s">
        <v>1</v>
      </c>
      <c r="C14" s="44" t="s">
        <v>824</v>
      </c>
      <c r="D14" s="45" t="s">
        <v>2</v>
      </c>
      <c r="E14" s="46" t="s">
        <v>3</v>
      </c>
      <c r="F14" s="47" t="s">
        <v>4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193" t="str">
        <f t="shared" ref="A15" si="6">PROPER(TEXT(B15, "dddd"))</f>
        <v>Torsdag</v>
      </c>
      <c r="B15" s="195">
        <f t="shared" ref="B15" si="7">Torsdag46</f>
        <v>45974</v>
      </c>
      <c r="C15" s="40">
        <v>0.375</v>
      </c>
      <c r="D15" s="48">
        <v>0.4375</v>
      </c>
      <c r="E15" s="49" t="s">
        <v>72</v>
      </c>
      <c r="F15" s="50" t="s">
        <v>507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193"/>
      <c r="B16" s="195"/>
      <c r="C16" s="40">
        <v>0.41666666666666669</v>
      </c>
      <c r="D16" s="48">
        <v>0.5</v>
      </c>
      <c r="E16" s="49"/>
      <c r="F16" s="50" t="s">
        <v>238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0.5625</v>
      </c>
      <c r="D17" s="48">
        <v>0.64583333333333337</v>
      </c>
      <c r="E17" s="49"/>
      <c r="F17" s="50" t="s">
        <v>218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s="10" customFormat="1" ht="15" customHeight="1" x14ac:dyDescent="0.3">
      <c r="A18" s="193"/>
      <c r="B18" s="195"/>
      <c r="C18" s="40">
        <v>0.70833333333333337</v>
      </c>
      <c r="D18" s="48">
        <v>0.83333333333333337</v>
      </c>
      <c r="E18" s="49"/>
      <c r="F18" s="50" t="s">
        <v>873</v>
      </c>
    </row>
    <row r="19" spans="1:24" ht="15" customHeight="1" x14ac:dyDescent="0.3">
      <c r="A19" s="193"/>
      <c r="B19" s="195"/>
      <c r="C19" s="40">
        <v>0.83333333333333337</v>
      </c>
      <c r="D19" s="48">
        <v>0.90625</v>
      </c>
      <c r="E19" s="49" t="s">
        <v>91</v>
      </c>
      <c r="F19" s="50" t="s">
        <v>731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hidden="1" customHeight="1" x14ac:dyDescent="0.3">
      <c r="A20" s="193" t="s">
        <v>0</v>
      </c>
      <c r="B20" s="195" t="s">
        <v>1</v>
      </c>
      <c r="C20" s="44" t="s">
        <v>824</v>
      </c>
      <c r="D20" s="45" t="s">
        <v>2</v>
      </c>
      <c r="E20" s="46" t="s">
        <v>3</v>
      </c>
      <c r="F20" s="47" t="s">
        <v>4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193" t="str">
        <f t="shared" ref="A21" si="8">PROPER(TEXT(B21, "dddd"))</f>
        <v>Fredag</v>
      </c>
      <c r="B21" s="195">
        <f t="shared" ref="B21" si="9">Fredag46</f>
        <v>45975</v>
      </c>
      <c r="C21" s="40">
        <v>0.375</v>
      </c>
      <c r="D21" s="48">
        <v>0.44791666666666669</v>
      </c>
      <c r="E21" s="49"/>
      <c r="F21" s="50" t="s">
        <v>508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193"/>
      <c r="B22" s="195"/>
      <c r="C22" s="40">
        <v>0.41666666666666669</v>
      </c>
      <c r="D22" s="48">
        <v>0.5</v>
      </c>
      <c r="E22" s="49"/>
      <c r="F22" s="50" t="s">
        <v>629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193"/>
      <c r="B23" s="195"/>
      <c r="C23" s="40">
        <v>0.44791666666666669</v>
      </c>
      <c r="D23" s="48">
        <v>0.51041666666666663</v>
      </c>
      <c r="E23" s="49">
        <v>13</v>
      </c>
      <c r="F23" s="50" t="s">
        <v>507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s="10" customFormat="1" ht="15" customHeight="1" x14ac:dyDescent="0.3">
      <c r="A24" s="193"/>
      <c r="B24" s="195"/>
      <c r="C24" s="40">
        <v>0.45833333333333331</v>
      </c>
      <c r="D24" s="48">
        <v>0.54166666666666663</v>
      </c>
      <c r="E24" s="49"/>
      <c r="F24" s="50" t="s">
        <v>800</v>
      </c>
    </row>
    <row r="25" spans="1:24" ht="15" customHeight="1" x14ac:dyDescent="0.3">
      <c r="A25" s="193"/>
      <c r="B25" s="195"/>
      <c r="C25" s="40">
        <v>0.70833333333333337</v>
      </c>
      <c r="D25" s="48">
        <v>0.83333333333333337</v>
      </c>
      <c r="E25" s="49"/>
      <c r="F25" s="50" t="s">
        <v>873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hidden="1" customHeight="1" x14ac:dyDescent="0.3">
      <c r="A26" s="193" t="s">
        <v>0</v>
      </c>
      <c r="B26" s="195" t="s">
        <v>1</v>
      </c>
      <c r="C26" s="44" t="s">
        <v>824</v>
      </c>
      <c r="D26" s="45" t="s">
        <v>2</v>
      </c>
      <c r="E26" s="46" t="s">
        <v>3</v>
      </c>
      <c r="F26" s="47" t="s">
        <v>4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193" t="str">
        <f t="shared" ref="A27" si="10">PROPER(TEXT(B27, "dddd"))</f>
        <v>Lördag</v>
      </c>
      <c r="B27" s="195">
        <f t="shared" ref="B27" si="11">Lördag46</f>
        <v>45976</v>
      </c>
      <c r="C27" s="40">
        <v>0.375</v>
      </c>
      <c r="D27" s="48">
        <v>0.625</v>
      </c>
      <c r="E27" s="49"/>
      <c r="F27" s="50" t="s">
        <v>873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193"/>
      <c r="B28" s="195"/>
      <c r="C28" s="40">
        <v>0.625</v>
      </c>
      <c r="D28" s="48">
        <v>0.66666666666666663</v>
      </c>
      <c r="E28" s="49"/>
      <c r="F28" s="50" t="s">
        <v>561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hidden="1" customHeight="1" x14ac:dyDescent="0.3">
      <c r="A29" s="193" t="s">
        <v>0</v>
      </c>
      <c r="B29" s="195" t="s">
        <v>1</v>
      </c>
      <c r="C29" s="44" t="s">
        <v>824</v>
      </c>
      <c r="D29" s="45" t="s">
        <v>2</v>
      </c>
      <c r="E29" s="46" t="s">
        <v>3</v>
      </c>
      <c r="F29" s="47" t="s">
        <v>4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193" t="str">
        <f t="shared" ref="A30" si="12">PROPER(TEXT(B30, "dddd"))</f>
        <v>Söndag</v>
      </c>
      <c r="B30" s="195">
        <f t="shared" ref="B30" si="13">Söndag46</f>
        <v>45977</v>
      </c>
      <c r="C30" s="40">
        <v>0.54166666666666663</v>
      </c>
      <c r="D30" s="48">
        <v>0.79166666666666663</v>
      </c>
      <c r="E30" s="49"/>
      <c r="F30" s="50" t="s">
        <v>873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193"/>
      <c r="B31" s="195"/>
      <c r="C31" s="40">
        <v>0.375</v>
      </c>
      <c r="D31" s="48">
        <v>0.54166666666666663</v>
      </c>
      <c r="E31" s="49"/>
      <c r="F31" s="50" t="s">
        <v>682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3" spans="3:4" ht="15" customHeight="1" x14ac:dyDescent="0.3">
      <c r="C33" s="40"/>
      <c r="D33" s="41"/>
    </row>
    <row r="34" spans="3:4" ht="15" customHeight="1" x14ac:dyDescent="0.3">
      <c r="C34" s="40"/>
      <c r="D34" s="8"/>
    </row>
    <row r="35" spans="3:4" ht="15" customHeight="1" x14ac:dyDescent="0.3">
      <c r="C35" s="40"/>
      <c r="D35" s="8"/>
    </row>
  </sheetData>
  <sheetProtection algorithmName="SHA-512" hashValue="z0QKvkY59HazuLMn5cW2Gr1O+LKdNm20rFTo4rLmUMcV0/bwH3g28aRQH3ShRS3kHv/QYbkm6e2PguIffB4qDw==" saltValue="QyHi50o5AyLf+FFBSwod1w==" spinCount="100000" sheet="1" objects="1" scenarios="1" autoFilter="0" pivotTables="0"/>
  <sortState xmlns:xlrd2="http://schemas.microsoft.com/office/spreadsheetml/2017/richdata2" ref="A15:F19">
    <sortCondition ref="C15:C19"/>
  </sortState>
  <conditionalFormatting sqref="A3 A5:A7 A15:A19 A21:A25 A27:A28 A30:A31 A9:A13">
    <cfRule type="cellIs" dxfId="167" priority="9" operator="equal">
      <formula>"Datum"</formula>
    </cfRule>
    <cfRule type="cellIs" dxfId="166" priority="10" operator="equal">
      <formula>"Dag"</formula>
    </cfRule>
    <cfRule type="expression" dxfId="165" priority="12">
      <formula>OR(IF($A2="Dag",1))</formula>
    </cfRule>
  </conditionalFormatting>
  <conditionalFormatting sqref="A29">
    <cfRule type="expression" dxfId="164" priority="30">
      <formula>OR(IF(#REF!="Dag",1))</formula>
    </cfRule>
  </conditionalFormatting>
  <conditionalFormatting sqref="A1:B2 B3 A4:B4 B5:B7 A8:B8 A14:B14 B15:B19 A20:B20 B21:B25 A26:B26 B27:B28 A29:B29 B30:B31 A32:B1048576 B9:B13">
    <cfRule type="cellIs" dxfId="163" priority="22" operator="equal">
      <formula>"Datum"</formula>
    </cfRule>
    <cfRule type="cellIs" dxfId="162" priority="23" operator="equal">
      <formula>"Dag"</formula>
    </cfRule>
  </conditionalFormatting>
  <conditionalFormatting sqref="B3 B5:B7 B9:B13 B15:B19 B21:B25 B27:B28 B30:B31">
    <cfRule type="expression" dxfId="161" priority="29">
      <formula>OR(IF($B2="Datum",1))</formula>
    </cfRule>
  </conditionalFormatting>
  <conditionalFormatting sqref="C16:E18 C15:D15 C19:D19 C3:E5 C7:E14 C20:E20 C22:E31">
    <cfRule type="expression" dxfId="160" priority="26">
      <formula>OR(IF($E3="Hela hallen",1))</formula>
    </cfRule>
  </conditionalFormatting>
  <conditionalFormatting sqref="L1:T1048576">
    <cfRule type="cellIs" dxfId="159" priority="21" operator="equal">
      <formula>"-"</formula>
    </cfRule>
  </conditionalFormatting>
  <conditionalFormatting sqref="A14">
    <cfRule type="expression" dxfId="158" priority="1277">
      <formula>OR(IF(#REF!="Dag",1))</formula>
    </cfRule>
  </conditionalFormatting>
  <conditionalFormatting sqref="B14">
    <cfRule type="expression" dxfId="157" priority="1281">
      <formula>OR(IF(#REF!="Datum",1))</formula>
    </cfRule>
  </conditionalFormatting>
  <conditionalFormatting sqref="C6:E6">
    <cfRule type="expression" dxfId="156" priority="7">
      <formula>OR(IF($E6="Hela hallen",1))</formula>
    </cfRule>
  </conditionalFormatting>
  <conditionalFormatting sqref="C21:E21">
    <cfRule type="expression" dxfId="155" priority="5">
      <formula>OR(IF($E21="Hela hallen",1))</formula>
    </cfRule>
  </conditionalFormatting>
  <conditionalFormatting sqref="E15">
    <cfRule type="expression" dxfId="154" priority="3">
      <formula>OR(IF($E15="Hela hallen",1))</formula>
    </cfRule>
  </conditionalFormatting>
  <conditionalFormatting sqref="E19">
    <cfRule type="expression" dxfId="153" priority="1">
      <formula>OR(IF($E19="Hela hallen",1))</formula>
    </cfRule>
  </conditionalFormatting>
  <conditionalFormatting sqref="C3:F31">
    <cfRule type="expression" dxfId="150" priority="3451">
      <formula>OR(IF(#REF!=TRUE,1))</formula>
    </cfRule>
  </conditionalFormatting>
  <conditionalFormatting sqref="A4 A8 A20 A26">
    <cfRule type="expression" dxfId="149" priority="3452">
      <formula>OR(IF(#REF!="Dag",1))</formula>
    </cfRule>
  </conditionalFormatting>
  <conditionalFormatting sqref="B4 B8 B20 B26 B29">
    <cfRule type="expression" dxfId="148" priority="3454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997E4513-C552-4E2F-B15F-953B4FC1A68E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A9:B13 A3:B3 A5:B7 A15:B19 A21:B25 A27:B28 A30:B31</xm:sqref>
        </x14:conditionalFormatting>
        <x14:conditionalFormatting xmlns:xm="http://schemas.microsoft.com/office/excel/2006/main">
          <x14:cfRule type="expression" priority="2066" id="{997E4513-C552-4E2F-B15F-953B4FC1A68E}">
            <xm:f>AND(IF(ISERROR(MATCH($B14,Kalenderår!$A$3:$A$17,0)),FALSE,TRUE),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A14:B14</xm:sqref>
        </x14:conditionalFormatting>
        <x14:conditionalFormatting xmlns:xm="http://schemas.microsoft.com/office/excel/2006/main">
          <x14:cfRule type="expression" priority="3463" id="{23664D6E-E853-4014-AA0E-3C7C86034BD8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A8:B8 A20:B20 A26:B26 A29:B29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AEE8A8F-EC90-4B45-9C36-200B1DCADE48}">
          <x14:formula1>
            <xm:f>Listor!$A$2:$A$150</xm:f>
          </x14:formula1>
          <xm:sqref>E3 E9:E13 E21:E25 E5:E7 E27:E28 E30:E31 E15:E19</xm:sqref>
        </x14:dataValidation>
        <x14:dataValidation type="list" allowBlank="1" showInputMessage="1" showErrorMessage="1" xr:uid="{E5833EDF-CDF3-46A2-B612-80D02CA01DCA}">
          <x14:formula1>
            <xm:f>Kontaktuppgifter!$A$2:$A$300</xm:f>
          </x14:formula1>
          <xm:sqref>F3 F9:F13 F15:F19 F5:F7 F27:F28 F30:F31 F21:F25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AF6B6-EF83-423B-AB7B-44298A6E09A8}">
  <sheetPr codeName="Blad48"/>
  <dimension ref="A1:Y38"/>
  <sheetViews>
    <sheetView showGridLines="0" zoomScaleNormal="100" workbookViewId="0">
      <pane ySplit="2" topLeftCell="A17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Måndag47</f>
        <v>45978</v>
      </c>
      <c r="W1" s="33">
        <f>Söndag47</f>
        <v>45984</v>
      </c>
      <c r="X1" s="34">
        <f>WEEKNUM(Söndag47, 2)</f>
        <v>47</v>
      </c>
      <c r="Y1" s="35" t="str">
        <f>"V. "&amp;X1&amp;", "&amp;TEXT(V1,"D MMM")&amp;"-"&amp;TEXT(W1,"D MMM")</f>
        <v>V. 47, 17 nov-23 nov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Måndag47</f>
        <v>45978</v>
      </c>
      <c r="C3" s="40">
        <v>0.375</v>
      </c>
      <c r="D3" s="41">
        <v>0.58333333333333337</v>
      </c>
      <c r="E3" s="42" t="s">
        <v>117</v>
      </c>
      <c r="F3" s="43" t="s">
        <v>213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193"/>
      <c r="B4" s="194"/>
      <c r="C4" s="40">
        <v>0.70833333333333337</v>
      </c>
      <c r="D4" s="41">
        <v>0.83333333333333337</v>
      </c>
      <c r="E4" s="42"/>
      <c r="F4" s="43" t="s">
        <v>873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s="10" customFormat="1" ht="20.100000000000001" hidden="1" customHeight="1" x14ac:dyDescent="0.3">
      <c r="A5" s="193" t="s">
        <v>0</v>
      </c>
      <c r="B5" s="195" t="s">
        <v>1</v>
      </c>
      <c r="C5" s="44" t="s">
        <v>824</v>
      </c>
      <c r="D5" s="45" t="s">
        <v>2</v>
      </c>
      <c r="E5" s="46" t="s">
        <v>3</v>
      </c>
      <c r="F5" s="47" t="s">
        <v>4</v>
      </c>
    </row>
    <row r="6" spans="1:25" ht="15" customHeight="1" x14ac:dyDescent="0.3">
      <c r="A6" s="193" t="str">
        <f t="shared" ref="A6" si="2">PROPER(TEXT(B6, "dddd"))</f>
        <v>Tisdag</v>
      </c>
      <c r="B6" s="195">
        <f t="shared" ref="B6" si="3">Tisdag47</f>
        <v>45979</v>
      </c>
      <c r="C6" s="40">
        <v>0.375</v>
      </c>
      <c r="D6" s="48">
        <v>0.4375</v>
      </c>
      <c r="E6" s="49">
        <v>33</v>
      </c>
      <c r="F6" s="50" t="s">
        <v>507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/>
      <c r="B7" s="195"/>
      <c r="C7" s="40">
        <v>0.5625</v>
      </c>
      <c r="D7" s="48">
        <v>0.64583333333333337</v>
      </c>
      <c r="E7" s="49"/>
      <c r="F7" s="50" t="s">
        <v>587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193"/>
      <c r="B8" s="195"/>
      <c r="C8" s="40">
        <v>0.70833333333333337</v>
      </c>
      <c r="D8" s="48">
        <v>0.83333333333333337</v>
      </c>
      <c r="E8" s="49"/>
      <c r="F8" s="50" t="s">
        <v>873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s="10" customFormat="1" ht="20.100000000000001" hidden="1" customHeight="1" x14ac:dyDescent="0.3">
      <c r="A9" s="193" t="s">
        <v>0</v>
      </c>
      <c r="B9" s="195" t="s">
        <v>1</v>
      </c>
      <c r="C9" s="44" t="s">
        <v>824</v>
      </c>
      <c r="D9" s="45" t="s">
        <v>2</v>
      </c>
      <c r="E9" s="46" t="s">
        <v>3</v>
      </c>
      <c r="F9" s="47" t="s">
        <v>4</v>
      </c>
    </row>
    <row r="10" spans="1:25" ht="15" customHeight="1" x14ac:dyDescent="0.3">
      <c r="A10" s="193" t="str">
        <f t="shared" ref="A10" si="4">PROPER(TEXT(B10, "dddd"))</f>
        <v>Onsdag</v>
      </c>
      <c r="B10" s="195">
        <f t="shared" ref="B10" si="5">Onsdag47</f>
        <v>45980</v>
      </c>
      <c r="C10" s="40">
        <v>0.375</v>
      </c>
      <c r="D10" s="48">
        <v>0.45833333333333331</v>
      </c>
      <c r="E10" s="49"/>
      <c r="F10" s="50" t="s">
        <v>737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0.41666666666666669</v>
      </c>
      <c r="D11" s="48">
        <v>0.5</v>
      </c>
      <c r="E11" s="49"/>
      <c r="F11" s="50" t="s">
        <v>643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0.4375</v>
      </c>
      <c r="D12" s="48">
        <v>0.47916666666666669</v>
      </c>
      <c r="E12" s="49" t="s">
        <v>79</v>
      </c>
      <c r="F12" s="50" t="s">
        <v>529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0.53125</v>
      </c>
      <c r="D13" s="48">
        <v>0.57291666666666663</v>
      </c>
      <c r="E13" s="49">
        <v>32</v>
      </c>
      <c r="F13" s="50" t="s">
        <v>529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/>
      <c r="B14" s="195"/>
      <c r="C14" s="40">
        <v>0.55555555555555558</v>
      </c>
      <c r="D14" s="48">
        <v>0.63888888888888884</v>
      </c>
      <c r="E14" s="49"/>
      <c r="F14" s="50" t="s">
        <v>28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193"/>
      <c r="B15" s="195"/>
      <c r="C15" s="40">
        <v>0.55555555555555558</v>
      </c>
      <c r="D15" s="48">
        <v>0.63888888888888884</v>
      </c>
      <c r="E15" s="49"/>
      <c r="F15" s="50" t="s">
        <v>776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s="10" customFormat="1" ht="15" customHeight="1" x14ac:dyDescent="0.3">
      <c r="A16" s="193"/>
      <c r="B16" s="195"/>
      <c r="C16" s="40">
        <v>0.59375</v>
      </c>
      <c r="D16" s="48">
        <v>0.63541666666666663</v>
      </c>
      <c r="E16" s="49" t="s">
        <v>72</v>
      </c>
      <c r="F16" s="50" t="s">
        <v>529</v>
      </c>
    </row>
    <row r="17" spans="1:24" ht="15" customHeight="1" x14ac:dyDescent="0.3">
      <c r="A17" s="193"/>
      <c r="B17" s="195"/>
      <c r="C17" s="40">
        <v>0.70833333333333337</v>
      </c>
      <c r="D17" s="48">
        <v>0.83333333333333337</v>
      </c>
      <c r="E17" s="49"/>
      <c r="F17" s="50" t="s">
        <v>873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hidden="1" customHeight="1" x14ac:dyDescent="0.3">
      <c r="A18" s="193" t="s">
        <v>0</v>
      </c>
      <c r="B18" s="195" t="s">
        <v>1</v>
      </c>
      <c r="C18" s="44" t="s">
        <v>824</v>
      </c>
      <c r="D18" s="45" t="s">
        <v>2</v>
      </c>
      <c r="E18" s="46" t="s">
        <v>3</v>
      </c>
      <c r="F18" s="47" t="s">
        <v>4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 t="str">
        <f t="shared" ref="A19" si="6">PROPER(TEXT(B19, "dddd"))</f>
        <v>Torsdag</v>
      </c>
      <c r="B19" s="195">
        <f t="shared" ref="B19" si="7">Torsdag47</f>
        <v>45981</v>
      </c>
      <c r="C19" s="40">
        <v>0.375</v>
      </c>
      <c r="D19" s="48">
        <v>0.4375</v>
      </c>
      <c r="E19" s="49" t="s">
        <v>72</v>
      </c>
      <c r="F19" s="50" t="s">
        <v>507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/>
      <c r="B20" s="195"/>
      <c r="C20" s="40">
        <v>0.41666666666666669</v>
      </c>
      <c r="D20" s="48">
        <v>0.5</v>
      </c>
      <c r="E20" s="49"/>
      <c r="F20" s="50" t="s">
        <v>238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193"/>
      <c r="B21" s="195"/>
      <c r="C21" s="40">
        <v>0.5625</v>
      </c>
      <c r="D21" s="48">
        <v>0.64583333333333337</v>
      </c>
      <c r="E21" s="49"/>
      <c r="F21" s="50" t="s">
        <v>218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s="10" customFormat="1" ht="15" customHeight="1" x14ac:dyDescent="0.3">
      <c r="A22" s="193"/>
      <c r="B22" s="195"/>
      <c r="C22" s="40">
        <v>0.70833333333333337</v>
      </c>
      <c r="D22" s="48">
        <v>0.83333333333333337</v>
      </c>
      <c r="E22" s="49"/>
      <c r="F22" s="50" t="s">
        <v>873</v>
      </c>
    </row>
    <row r="23" spans="1:24" ht="15" customHeight="1" x14ac:dyDescent="0.3">
      <c r="A23" s="193"/>
      <c r="B23" s="195"/>
      <c r="C23" s="40">
        <v>0.83333333333333337</v>
      </c>
      <c r="D23" s="48">
        <v>0.90625</v>
      </c>
      <c r="E23" s="49" t="s">
        <v>91</v>
      </c>
      <c r="F23" s="50" t="s">
        <v>731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hidden="1" customHeight="1" x14ac:dyDescent="0.3">
      <c r="A24" s="193" t="s">
        <v>0</v>
      </c>
      <c r="B24" s="195" t="s">
        <v>1</v>
      </c>
      <c r="C24" s="44" t="s">
        <v>824</v>
      </c>
      <c r="D24" s="45" t="s">
        <v>2</v>
      </c>
      <c r="E24" s="46" t="s">
        <v>3</v>
      </c>
      <c r="F24" s="47" t="s">
        <v>4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 t="str">
        <f t="shared" ref="A25" si="8">PROPER(TEXT(B25, "dddd"))</f>
        <v>Fredag</v>
      </c>
      <c r="B25" s="195">
        <f t="shared" ref="B25" si="9">Fredag47</f>
        <v>45982</v>
      </c>
      <c r="C25" s="40">
        <v>0.375</v>
      </c>
      <c r="D25" s="48">
        <v>0.44791666666666669</v>
      </c>
      <c r="E25" s="49"/>
      <c r="F25" s="50" t="s">
        <v>508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/>
      <c r="B26" s="195"/>
      <c r="C26" s="40">
        <v>0.41666666666666669</v>
      </c>
      <c r="D26" s="48">
        <v>0.5</v>
      </c>
      <c r="E26" s="49"/>
      <c r="F26" s="50" t="s">
        <v>629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193"/>
      <c r="B27" s="195"/>
      <c r="C27" s="40">
        <v>0.44791666666666669</v>
      </c>
      <c r="D27" s="48">
        <v>0.51041666666666663</v>
      </c>
      <c r="E27" s="49">
        <v>13</v>
      </c>
      <c r="F27" s="50" t="s">
        <v>507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s="10" customFormat="1" ht="15" customHeight="1" x14ac:dyDescent="0.3">
      <c r="A28" s="193"/>
      <c r="B28" s="195"/>
      <c r="C28" s="40">
        <v>0.45833333333333331</v>
      </c>
      <c r="D28" s="48">
        <v>0.54166666666666663</v>
      </c>
      <c r="E28" s="49"/>
      <c r="F28" s="50" t="s">
        <v>800</v>
      </c>
    </row>
    <row r="29" spans="1:24" ht="15" customHeight="1" x14ac:dyDescent="0.3">
      <c r="A29" s="193"/>
      <c r="B29" s="195"/>
      <c r="C29" s="40">
        <v>0.70833333333333337</v>
      </c>
      <c r="D29" s="48">
        <v>0.83333333333333337</v>
      </c>
      <c r="E29" s="49"/>
      <c r="F29" s="50" t="s">
        <v>873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hidden="1" customHeight="1" x14ac:dyDescent="0.3">
      <c r="A30" s="193" t="s">
        <v>0</v>
      </c>
      <c r="B30" s="195" t="s">
        <v>1</v>
      </c>
      <c r="C30" s="44" t="s">
        <v>824</v>
      </c>
      <c r="D30" s="45" t="s">
        <v>2</v>
      </c>
      <c r="E30" s="46" t="s">
        <v>3</v>
      </c>
      <c r="F30" s="47" t="s">
        <v>4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193" t="str">
        <f t="shared" ref="A31" si="10">PROPER(TEXT(B31, "dddd"))</f>
        <v>Lördag</v>
      </c>
      <c r="B31" s="195">
        <f t="shared" ref="B31" si="11">Lördag47</f>
        <v>45983</v>
      </c>
      <c r="C31" s="40">
        <v>0.375</v>
      </c>
      <c r="D31" s="48">
        <v>0.625</v>
      </c>
      <c r="E31" s="49"/>
      <c r="F31" s="50" t="s">
        <v>873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193"/>
      <c r="B32" s="195"/>
      <c r="C32" s="40">
        <v>0.625</v>
      </c>
      <c r="D32" s="48">
        <v>0.66666666666666663</v>
      </c>
      <c r="E32" s="49"/>
      <c r="F32" s="50" t="s">
        <v>561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hidden="1" customHeight="1" x14ac:dyDescent="0.3">
      <c r="A33" s="193" t="s">
        <v>0</v>
      </c>
      <c r="B33" s="195" t="s">
        <v>1</v>
      </c>
      <c r="C33" s="44" t="s">
        <v>824</v>
      </c>
      <c r="D33" s="45" t="s">
        <v>2</v>
      </c>
      <c r="E33" s="46" t="s">
        <v>3</v>
      </c>
      <c r="F33" s="47" t="s">
        <v>4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customHeight="1" x14ac:dyDescent="0.3">
      <c r="A34" s="193" t="str">
        <f t="shared" ref="A34" si="12">PROPER(TEXT(B34, "dddd"))</f>
        <v>Söndag</v>
      </c>
      <c r="B34" s="195">
        <f t="shared" ref="B34" si="13">Söndag47</f>
        <v>45984</v>
      </c>
      <c r="C34" s="40">
        <v>0.375</v>
      </c>
      <c r="D34" s="48">
        <v>0.79166666666666663</v>
      </c>
      <c r="E34" s="49"/>
      <c r="F34" s="50" t="s">
        <v>873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6" spans="1:24" ht="15" customHeight="1" x14ac:dyDescent="0.3">
      <c r="C36" s="40"/>
      <c r="D36" s="41"/>
    </row>
    <row r="37" spans="1:24" ht="15" customHeight="1" x14ac:dyDescent="0.3">
      <c r="C37" s="40"/>
      <c r="D37" s="8"/>
    </row>
    <row r="38" spans="1:24" ht="15" customHeight="1" x14ac:dyDescent="0.3">
      <c r="C38" s="40"/>
      <c r="D38" s="8"/>
    </row>
  </sheetData>
  <sheetProtection algorithmName="SHA-512" hashValue="qWadOCGGprIhiXyHeOC/SdE+tIVCt56y/Ns5rJYPI+3N7DzPpfU3BxMpFHkqhuD7Pl8h5xXp1zaOvQLfHo2eCQ==" saltValue="sfcTcNlDgbpjKT0MTs+b7A==" spinCount="100000" sheet="1" objects="1" scenarios="1" autoFilter="0" pivotTables="0"/>
  <sortState xmlns:xlrd2="http://schemas.microsoft.com/office/spreadsheetml/2017/richdata2" ref="A19:F23">
    <sortCondition ref="C19:C23"/>
  </sortState>
  <conditionalFormatting sqref="A3:A4 A6:A8 A19:A23 A25:A29 A31:A32 A34 A10:A17">
    <cfRule type="cellIs" dxfId="146" priority="9" operator="equal">
      <formula>"Datum"</formula>
    </cfRule>
    <cfRule type="cellIs" dxfId="145" priority="10" operator="equal">
      <formula>"Dag"</formula>
    </cfRule>
    <cfRule type="expression" dxfId="144" priority="12">
      <formula>OR(IF($A2="Dag",1))</formula>
    </cfRule>
  </conditionalFormatting>
  <conditionalFormatting sqref="A33">
    <cfRule type="expression" dxfId="143" priority="30">
      <formula>OR(IF(#REF!="Dag",1))</formula>
    </cfRule>
  </conditionalFormatting>
  <conditionalFormatting sqref="A1:B2 B3:B4 A5:B5 B6:B8 A9:B9 A18:B18 B19:B23 A24:B24 B25:B29 A30:B30 B31:B32 A33:B33 B34 A35:B1048576 B10:B17">
    <cfRule type="cellIs" dxfId="142" priority="22" operator="equal">
      <formula>"Datum"</formula>
    </cfRule>
    <cfRule type="cellIs" dxfId="141" priority="23" operator="equal">
      <formula>"Dag"</formula>
    </cfRule>
  </conditionalFormatting>
  <conditionalFormatting sqref="B3:B4 B6:B8 B10:B17 B19:B23 B25:B29 B31:B32 B34">
    <cfRule type="expression" dxfId="140" priority="29">
      <formula>OR(IF($B2="Datum",1))</formula>
    </cfRule>
  </conditionalFormatting>
  <conditionalFormatting sqref="C20:E22 C19:D19 C23:D23 C3:E6 C8:E18 C24:E24 C26:E34">
    <cfRule type="expression" dxfId="139" priority="26">
      <formula>OR(IF($E3="Hela hallen",1))</formula>
    </cfRule>
  </conditionalFormatting>
  <conditionalFormatting sqref="L1:T1048576">
    <cfRule type="cellIs" dxfId="138" priority="21" operator="equal">
      <formula>"-"</formula>
    </cfRule>
  </conditionalFormatting>
  <conditionalFormatting sqref="A18">
    <cfRule type="expression" dxfId="137" priority="1294">
      <formula>OR(IF($A15="Dag",1))</formula>
    </cfRule>
  </conditionalFormatting>
  <conditionalFormatting sqref="B18">
    <cfRule type="expression" dxfId="136" priority="1298">
      <formula>OR(IF($B15="Datum",1))</formula>
    </cfRule>
  </conditionalFormatting>
  <conditionalFormatting sqref="C7:E7">
    <cfRule type="expression" dxfId="135" priority="7">
      <formula>OR(IF($E7="Hela hallen",1))</formula>
    </cfRule>
  </conditionalFormatting>
  <conditionalFormatting sqref="C25:E25">
    <cfRule type="expression" dxfId="134" priority="5">
      <formula>OR(IF($E25="Hela hallen",1))</formula>
    </cfRule>
  </conditionalFormatting>
  <conditionalFormatting sqref="E19">
    <cfRule type="expression" dxfId="133" priority="3">
      <formula>OR(IF($E19="Hela hallen",1))</formula>
    </cfRule>
  </conditionalFormatting>
  <conditionalFormatting sqref="E23">
    <cfRule type="expression" dxfId="132" priority="1">
      <formula>OR(IF($E23="Hela hallen",1))</formula>
    </cfRule>
  </conditionalFormatting>
  <conditionalFormatting sqref="C3:F34">
    <cfRule type="expression" dxfId="130" priority="3465">
      <formula>OR(IF(#REF!=TRUE,1))</formula>
    </cfRule>
  </conditionalFormatting>
  <conditionalFormatting sqref="A5 A9 A24 A30">
    <cfRule type="expression" dxfId="129" priority="3466">
      <formula>OR(IF(#REF!="Dag",1))</formula>
    </cfRule>
  </conditionalFormatting>
  <conditionalFormatting sqref="B5 B9 B24 B30 B33">
    <cfRule type="expression" dxfId="128" priority="3468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0C931C6A-2EFD-4CA3-889F-C377B0231338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A3:B4 A6:B8 A10:B17 A19:B23 A25:B29 A31:B32 A34:B34</xm:sqref>
        </x14:conditionalFormatting>
        <x14:conditionalFormatting xmlns:xm="http://schemas.microsoft.com/office/excel/2006/main">
          <x14:cfRule type="expression" priority="3477" id="{22FD036C-9E39-4467-94AF-9B04E95CC704}">
            <xm:f>AND(IF(ISERROR(MATCH($B5,Kalenderår!$A$3:$A$17,0)),FALSE,TRUE),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A5:B5 A9:B9 A24:B24 A30:B30 A33:B33</xm:sqref>
        </x14:conditionalFormatting>
        <x14:conditionalFormatting xmlns:xm="http://schemas.microsoft.com/office/excel/2006/main">
          <x14:cfRule type="expression" priority="3485" id="{22FD036C-9E39-4467-94AF-9B04E95CC704}">
            <xm:f>AND(IF(ISERROR(MATCH($B18,Kalenderår!$A$3:$A$17,0)),FALSE,TRUE), IF($B15="Datum",TRUE,FALSE), IF($A15="Dag",TRUE,FALSE))</xm:f>
            <x14:dxf>
              <font>
                <color rgb="FFC00000"/>
              </font>
            </x14:dxf>
          </x14:cfRule>
          <xm:sqref>A18:B18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D94331-80E1-4CE0-A628-77D19CACF393}">
          <x14:formula1>
            <xm:f>Kontaktuppgifter!$A$2:$A$300</xm:f>
          </x14:formula1>
          <xm:sqref>F3:F4 F10:F17 F19:F23 F6:F8 F31:F32 F34 F25:F29</xm:sqref>
        </x14:dataValidation>
        <x14:dataValidation type="list" allowBlank="1" showInputMessage="1" showErrorMessage="1" xr:uid="{F17D2D34-998F-440D-9043-0A3084D1EF15}">
          <x14:formula1>
            <xm:f>Listor!$A$2:$A$150</xm:f>
          </x14:formula1>
          <xm:sqref>E3:E4 E10:E17 E25:E29 E6:E8 E31:E32 E34 E19:E23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0113A-B98C-44CF-B749-C438F786E180}">
  <sheetPr codeName="Blad49"/>
  <dimension ref="A1:Y37"/>
  <sheetViews>
    <sheetView showGridLines="0" zoomScaleNormal="100" workbookViewId="0">
      <pane ySplit="2" topLeftCell="A1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Måndag48</f>
        <v>45985</v>
      </c>
      <c r="W1" s="33">
        <f>Söndag48</f>
        <v>45991</v>
      </c>
      <c r="X1" s="34">
        <f>WEEKNUM(Söndag48, 2)</f>
        <v>48</v>
      </c>
      <c r="Y1" s="35" t="str">
        <f>"V. "&amp;X1&amp;", "&amp;TEXT(V1,"D MMM")&amp;"-"&amp;TEXT(W1,"D MMM")</f>
        <v>V. 48, 24 nov-30 nov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Måndag48</f>
        <v>45985</v>
      </c>
      <c r="C3" s="40">
        <v>0.70833333333333337</v>
      </c>
      <c r="D3" s="41">
        <v>0.83333333333333337</v>
      </c>
      <c r="E3" s="42"/>
      <c r="F3" s="43" t="s">
        <v>873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 t="shared" ref="A5" si="2">PROPER(TEXT(B5, "dddd"))</f>
        <v>Tisdag</v>
      </c>
      <c r="B5" s="195">
        <f t="shared" ref="B5" si="3">Tisdag48</f>
        <v>45986</v>
      </c>
      <c r="C5" s="40">
        <v>0.375</v>
      </c>
      <c r="D5" s="48">
        <v>0.4375</v>
      </c>
      <c r="E5" s="49">
        <v>33</v>
      </c>
      <c r="F5" s="50" t="s">
        <v>507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5"/>
      <c r="C6" s="40">
        <v>0.5625</v>
      </c>
      <c r="D6" s="48">
        <v>0.64583333333333337</v>
      </c>
      <c r="E6" s="49"/>
      <c r="F6" s="50" t="s">
        <v>587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/>
      <c r="B7" s="195"/>
      <c r="C7" s="40">
        <v>0.70833333333333337</v>
      </c>
      <c r="D7" s="48">
        <v>0.83333333333333337</v>
      </c>
      <c r="E7" s="49"/>
      <c r="F7" s="50" t="s">
        <v>873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193" t="s">
        <v>0</v>
      </c>
      <c r="B8" s="195" t="s">
        <v>1</v>
      </c>
      <c r="C8" s="44" t="s">
        <v>824</v>
      </c>
      <c r="D8" s="45" t="s">
        <v>2</v>
      </c>
      <c r="E8" s="46" t="s">
        <v>3</v>
      </c>
      <c r="F8" s="47" t="s">
        <v>4</v>
      </c>
    </row>
    <row r="9" spans="1:25" ht="15" customHeight="1" x14ac:dyDescent="0.3">
      <c r="A9" s="193" t="str">
        <f t="shared" ref="A9" si="4">PROPER(TEXT(B9, "dddd"))</f>
        <v>Onsdag</v>
      </c>
      <c r="B9" s="195">
        <f t="shared" ref="B9" si="5">Onsdag48</f>
        <v>45987</v>
      </c>
      <c r="C9" s="40">
        <v>0.375</v>
      </c>
      <c r="D9" s="48">
        <v>0.45833333333333331</v>
      </c>
      <c r="E9" s="49"/>
      <c r="F9" s="50" t="s">
        <v>737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0.41666666666666669</v>
      </c>
      <c r="D10" s="48">
        <v>0.5</v>
      </c>
      <c r="E10" s="49"/>
      <c r="F10" s="50" t="s">
        <v>643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0.4375</v>
      </c>
      <c r="D11" s="48">
        <v>0.47916666666666669</v>
      </c>
      <c r="E11" s="49" t="s">
        <v>79</v>
      </c>
      <c r="F11" s="50" t="s">
        <v>529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0.53125</v>
      </c>
      <c r="D12" s="48">
        <v>0.57291666666666663</v>
      </c>
      <c r="E12" s="49">
        <v>32</v>
      </c>
      <c r="F12" s="50" t="s">
        <v>529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0.55555555555555558</v>
      </c>
      <c r="D13" s="48">
        <v>0.63888888888888884</v>
      </c>
      <c r="E13" s="49"/>
      <c r="F13" s="50" t="s">
        <v>28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/>
      <c r="B14" s="195"/>
      <c r="C14" s="40">
        <v>0.55555555555555558</v>
      </c>
      <c r="D14" s="48">
        <v>0.63888888888888884</v>
      </c>
      <c r="E14" s="49"/>
      <c r="F14" s="50" t="s">
        <v>776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s="10" customFormat="1" ht="15" customHeight="1" x14ac:dyDescent="0.3">
      <c r="A15" s="193"/>
      <c r="B15" s="195"/>
      <c r="C15" s="40">
        <v>0.59375</v>
      </c>
      <c r="D15" s="48">
        <v>0.63541666666666663</v>
      </c>
      <c r="E15" s="49" t="s">
        <v>72</v>
      </c>
      <c r="F15" s="50" t="s">
        <v>529</v>
      </c>
    </row>
    <row r="16" spans="1:25" ht="15" customHeight="1" x14ac:dyDescent="0.3">
      <c r="A16" s="193"/>
      <c r="B16" s="195"/>
      <c r="C16" s="40">
        <v>0.70833333333333337</v>
      </c>
      <c r="D16" s="48">
        <v>0.83333333333333337</v>
      </c>
      <c r="E16" s="49"/>
      <c r="F16" s="50" t="s">
        <v>873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hidden="1" customHeight="1" x14ac:dyDescent="0.3">
      <c r="A17" s="193" t="s">
        <v>0</v>
      </c>
      <c r="B17" s="195" t="s">
        <v>1</v>
      </c>
      <c r="C17" s="44" t="s">
        <v>824</v>
      </c>
      <c r="D17" s="45" t="s">
        <v>2</v>
      </c>
      <c r="E17" s="46" t="s">
        <v>3</v>
      </c>
      <c r="F17" s="47" t="s">
        <v>4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 t="str">
        <f t="shared" ref="A18" si="6">PROPER(TEXT(B18, "dddd"))</f>
        <v>Torsdag</v>
      </c>
      <c r="B18" s="195">
        <f t="shared" ref="B18" si="7">Torsdag48</f>
        <v>45988</v>
      </c>
      <c r="C18" s="40">
        <v>0.375</v>
      </c>
      <c r="D18" s="48">
        <v>0.4375</v>
      </c>
      <c r="E18" s="49" t="s">
        <v>72</v>
      </c>
      <c r="F18" s="50" t="s">
        <v>507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/>
      <c r="B19" s="195"/>
      <c r="C19" s="40">
        <v>0.41666666666666669</v>
      </c>
      <c r="D19" s="48">
        <v>0.5</v>
      </c>
      <c r="E19" s="49"/>
      <c r="F19" s="50" t="s">
        <v>238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/>
      <c r="B20" s="195"/>
      <c r="C20" s="40">
        <v>0.5625</v>
      </c>
      <c r="D20" s="48">
        <v>0.64583333333333337</v>
      </c>
      <c r="E20" s="49"/>
      <c r="F20" s="50" t="s">
        <v>218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s="10" customFormat="1" ht="15" customHeight="1" x14ac:dyDescent="0.3">
      <c r="A21" s="193"/>
      <c r="B21" s="195"/>
      <c r="C21" s="40">
        <v>0.70833333333333337</v>
      </c>
      <c r="D21" s="48">
        <v>0.83333333333333337</v>
      </c>
      <c r="E21" s="49"/>
      <c r="F21" s="50" t="s">
        <v>873</v>
      </c>
    </row>
    <row r="22" spans="1:24" ht="15" customHeight="1" x14ac:dyDescent="0.3">
      <c r="A22" s="193"/>
      <c r="B22" s="195"/>
      <c r="C22" s="40">
        <v>0.83333333333333337</v>
      </c>
      <c r="D22" s="48">
        <v>0.90625</v>
      </c>
      <c r="E22" s="49" t="s">
        <v>91</v>
      </c>
      <c r="F22" s="50" t="s">
        <v>731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hidden="1" customHeight="1" x14ac:dyDescent="0.3">
      <c r="A23" s="193" t="s">
        <v>0</v>
      </c>
      <c r="B23" s="195" t="s">
        <v>1</v>
      </c>
      <c r="C23" s="44" t="s">
        <v>824</v>
      </c>
      <c r="D23" s="45" t="s">
        <v>2</v>
      </c>
      <c r="E23" s="46" t="s">
        <v>3</v>
      </c>
      <c r="F23" s="47" t="s">
        <v>4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193" t="str">
        <f t="shared" ref="A24" si="8">PROPER(TEXT(B24, "dddd"))</f>
        <v>Fredag</v>
      </c>
      <c r="B24" s="195">
        <f t="shared" ref="B24" si="9">Fredag48</f>
        <v>45989</v>
      </c>
      <c r="C24" s="40">
        <v>0.375</v>
      </c>
      <c r="D24" s="48">
        <v>0.44791666666666669</v>
      </c>
      <c r="E24" s="49"/>
      <c r="F24" s="50" t="s">
        <v>508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/>
      <c r="B25" s="195"/>
      <c r="C25" s="40">
        <v>0.41666666666666669</v>
      </c>
      <c r="D25" s="48">
        <v>0.5</v>
      </c>
      <c r="E25" s="49"/>
      <c r="F25" s="50" t="s">
        <v>629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/>
      <c r="B26" s="195"/>
      <c r="C26" s="40">
        <v>0.44791666666666669</v>
      </c>
      <c r="D26" s="48">
        <v>0.51041666666666663</v>
      </c>
      <c r="E26" s="49">
        <v>13</v>
      </c>
      <c r="F26" s="50" t="s">
        <v>507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s="10" customFormat="1" ht="15" customHeight="1" x14ac:dyDescent="0.3">
      <c r="A27" s="193"/>
      <c r="B27" s="195"/>
      <c r="C27" s="40">
        <v>0.45833333333333331</v>
      </c>
      <c r="D27" s="48">
        <v>0.54166666666666663</v>
      </c>
      <c r="E27" s="49"/>
      <c r="F27" s="50" t="s">
        <v>800</v>
      </c>
    </row>
    <row r="28" spans="1:24" ht="15" customHeight="1" x14ac:dyDescent="0.3">
      <c r="A28" s="193"/>
      <c r="B28" s="195"/>
      <c r="C28" s="40">
        <v>0.70833333333333337</v>
      </c>
      <c r="D28" s="48">
        <v>0.83333333333333337</v>
      </c>
      <c r="E28" s="49"/>
      <c r="F28" s="50" t="s">
        <v>873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hidden="1" customHeight="1" x14ac:dyDescent="0.3">
      <c r="A29" s="193" t="s">
        <v>0</v>
      </c>
      <c r="B29" s="195" t="s">
        <v>1</v>
      </c>
      <c r="C29" s="44" t="s">
        <v>824</v>
      </c>
      <c r="D29" s="45" t="s">
        <v>2</v>
      </c>
      <c r="E29" s="46" t="s">
        <v>3</v>
      </c>
      <c r="F29" s="47" t="s">
        <v>4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193" t="str">
        <f t="shared" ref="A30" si="10">PROPER(TEXT(B30, "dddd"))</f>
        <v>Lördag</v>
      </c>
      <c r="B30" s="195">
        <f t="shared" ref="B30" si="11">Lördag48</f>
        <v>45990</v>
      </c>
      <c r="C30" s="40">
        <v>0.375</v>
      </c>
      <c r="D30" s="48">
        <v>0.625</v>
      </c>
      <c r="E30" s="49"/>
      <c r="F30" s="50" t="s">
        <v>873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193"/>
      <c r="B31" s="195"/>
      <c r="C31" s="40">
        <v>0.625</v>
      </c>
      <c r="D31" s="48">
        <v>0.66666666666666663</v>
      </c>
      <c r="E31" s="49"/>
      <c r="F31" s="50" t="s">
        <v>561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hidden="1" customHeight="1" x14ac:dyDescent="0.3">
      <c r="A32" s="193" t="s">
        <v>0</v>
      </c>
      <c r="B32" s="195" t="s">
        <v>1</v>
      </c>
      <c r="C32" s="44" t="s">
        <v>824</v>
      </c>
      <c r="D32" s="45" t="s">
        <v>2</v>
      </c>
      <c r="E32" s="46" t="s">
        <v>3</v>
      </c>
      <c r="F32" s="47" t="s">
        <v>4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193" t="str">
        <f t="shared" ref="A33" si="12">PROPER(TEXT(B33, "dddd"))</f>
        <v>Söndag</v>
      </c>
      <c r="B33" s="195">
        <f t="shared" ref="B33" si="13">Söndag48</f>
        <v>45991</v>
      </c>
      <c r="C33" s="40">
        <v>0.29166666666666669</v>
      </c>
      <c r="D33" s="48">
        <v>0.875</v>
      </c>
      <c r="E33" s="49"/>
      <c r="F33" s="50" t="s">
        <v>245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5" spans="1:24" ht="15" customHeight="1" x14ac:dyDescent="0.3">
      <c r="C35" s="40"/>
      <c r="D35" s="41"/>
    </row>
    <row r="36" spans="1:24" ht="15" customHeight="1" x14ac:dyDescent="0.3">
      <c r="C36" s="40"/>
      <c r="D36" s="8"/>
    </row>
    <row r="37" spans="1:24" ht="15" customHeight="1" x14ac:dyDescent="0.3">
      <c r="C37" s="40"/>
      <c r="D37" s="8"/>
    </row>
  </sheetData>
  <sheetProtection algorithmName="SHA-512" hashValue="jUwh3zJTr7G+pVl7y/ZhpO6+hnr/S8EH2HaoAaqVsCKfbDEe0fruCEFF8L55s/gebc14R0oHYhzPsc/0EBbTVg==" saltValue="6QUKpfVWrZXfA/2Old6s1w==" spinCount="100000" sheet="1" objects="1" scenarios="1" autoFilter="0" pivotTables="0"/>
  <sortState xmlns:xlrd2="http://schemas.microsoft.com/office/spreadsheetml/2017/richdata2" ref="A18:F22">
    <sortCondition ref="C18:C22"/>
  </sortState>
  <conditionalFormatting sqref="A3 A5:A7 A18:A22 A24:A28 A30:A31 A33 A9:A16">
    <cfRule type="cellIs" dxfId="125" priority="9" operator="equal">
      <formula>"Datum"</formula>
    </cfRule>
    <cfRule type="cellIs" dxfId="124" priority="10" operator="equal">
      <formula>"Dag"</formula>
    </cfRule>
    <cfRule type="expression" dxfId="123" priority="12">
      <formula>OR(IF($A2="Dag",1))</formula>
    </cfRule>
  </conditionalFormatting>
  <conditionalFormatting sqref="A32">
    <cfRule type="expression" dxfId="122" priority="30">
      <formula>OR(IF(#REF!="Dag",1))</formula>
    </cfRule>
  </conditionalFormatting>
  <conditionalFormatting sqref="A1:B2 B3 A4:B4 B5:B7 A8:B8 A17:B17 B18:B22 A23:B23 B24:B28 A29:B29 B30:B31 A32:B32 B33 A34:B1048576 B9:B16">
    <cfRule type="cellIs" dxfId="121" priority="22" operator="equal">
      <formula>"Datum"</formula>
    </cfRule>
    <cfRule type="cellIs" dxfId="120" priority="23" operator="equal">
      <formula>"Dag"</formula>
    </cfRule>
  </conditionalFormatting>
  <conditionalFormatting sqref="B3 B5:B7 B9:B16 B18:B22 B24:B28 B30:B31 B33">
    <cfRule type="expression" dxfId="119" priority="29">
      <formula>OR(IF($B2="Datum",1))</formula>
    </cfRule>
  </conditionalFormatting>
  <conditionalFormatting sqref="C19:E21 C18:D18 C22:D22 C3:E5 C7:E17 C23:E23 C25:E33">
    <cfRule type="expression" dxfId="118" priority="26">
      <formula>OR(IF($E3="Hela hallen",1))</formula>
    </cfRule>
  </conditionalFormatting>
  <conditionalFormatting sqref="L1:T1048576">
    <cfRule type="cellIs" dxfId="117" priority="21" operator="equal">
      <formula>"-"</formula>
    </cfRule>
  </conditionalFormatting>
  <conditionalFormatting sqref="A17">
    <cfRule type="expression" dxfId="116" priority="1311">
      <formula>OR(IF($A14="Dag",1))</formula>
    </cfRule>
  </conditionalFormatting>
  <conditionalFormatting sqref="B17">
    <cfRule type="expression" dxfId="115" priority="1315">
      <formula>OR(IF($B14="Datum",1))</formula>
    </cfRule>
  </conditionalFormatting>
  <conditionalFormatting sqref="C6:E6">
    <cfRule type="expression" dxfId="114" priority="7">
      <formula>OR(IF($E6="Hela hallen",1))</formula>
    </cfRule>
  </conditionalFormatting>
  <conditionalFormatting sqref="C24:E24">
    <cfRule type="expression" dxfId="113" priority="5">
      <formula>OR(IF($E24="Hela hallen",1))</formula>
    </cfRule>
  </conditionalFormatting>
  <conditionalFormatting sqref="E18">
    <cfRule type="expression" dxfId="112" priority="3">
      <formula>OR(IF($E18="Hela hallen",1))</formula>
    </cfRule>
  </conditionalFormatting>
  <conditionalFormatting sqref="E22">
    <cfRule type="expression" dxfId="111" priority="1">
      <formula>OR(IF($E22="Hela hallen",1))</formula>
    </cfRule>
  </conditionalFormatting>
  <conditionalFormatting sqref="C3:F33">
    <cfRule type="expression" dxfId="109" priority="3487">
      <formula>OR(IF(#REF!=TRUE,1))</formula>
    </cfRule>
  </conditionalFormatting>
  <conditionalFormatting sqref="A4 A8 A23 A29">
    <cfRule type="expression" dxfId="108" priority="3488">
      <formula>OR(IF(#REF!="Dag",1))</formula>
    </cfRule>
  </conditionalFormatting>
  <conditionalFormatting sqref="B4 B8 B23 B29 B32">
    <cfRule type="expression" dxfId="107" priority="3490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3C8477D2-2580-46A4-87F4-0C04EB8670F1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A5:B7 A9:B16 A18:B22 A24:B28 A30:B31 A33:B33</xm:sqref>
        </x14:conditionalFormatting>
        <x14:conditionalFormatting xmlns:xm="http://schemas.microsoft.com/office/excel/2006/main">
          <x14:cfRule type="expression" priority="3499" id="{7FF8F09E-376F-46CE-9C12-F4AF5A303287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A8:B8 A23:B23 A29:B29 A32:B32</xm:sqref>
        </x14:conditionalFormatting>
        <x14:conditionalFormatting xmlns:xm="http://schemas.microsoft.com/office/excel/2006/main">
          <x14:cfRule type="expression" priority="3507" id="{7FF8F09E-376F-46CE-9C12-F4AF5A303287}">
            <xm:f>AND(IF(ISERROR(MATCH($B17,Kalenderår!$A$3:$A$17,0)),FALSE,TRUE), IF($B14="Datum",TRUE,FALSE), IF($A14="Dag",TRUE,FALSE))</xm:f>
            <x14:dxf>
              <font>
                <color rgb="FFC00000"/>
              </font>
            </x14:dxf>
          </x14:cfRule>
          <xm:sqref>A17:B17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D68FF3-1E5B-4211-A8AD-15A3764BF81B}">
          <x14:formula1>
            <xm:f>Listor!$A$2:$A$150</xm:f>
          </x14:formula1>
          <xm:sqref>E3 E9:E16 E24:E28 E5:E7 E30:E31 E33 E18:E22</xm:sqref>
        </x14:dataValidation>
        <x14:dataValidation type="list" allowBlank="1" showInputMessage="1" showErrorMessage="1" xr:uid="{723D2FEF-7F9F-44E2-BFDA-395723277940}">
          <x14:formula1>
            <xm:f>Kontaktuppgifter!$A$2:$A$300</xm:f>
          </x14:formula1>
          <xm:sqref>F3 F9:F16 F18:F22 F5:F7 F30:F31 F33 F24:F28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7A678-71EC-4F6B-8F6C-6757619E955F}">
  <sheetPr codeName="Blad50"/>
  <dimension ref="A1:Y40"/>
  <sheetViews>
    <sheetView showGridLines="0" zoomScaleNormal="100" workbookViewId="0">
      <pane ySplit="2" topLeftCell="A11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72.8867187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Måndag49</f>
        <v>45992</v>
      </c>
      <c r="W1" s="33">
        <f>Söndag49</f>
        <v>45998</v>
      </c>
      <c r="X1" s="34">
        <f>WEEKNUM(Söndag49, 2)</f>
        <v>49</v>
      </c>
      <c r="Y1" s="35" t="str">
        <f>"V. "&amp;X1&amp;", "&amp;TEXT(V1,"D MMM")&amp;"-"&amp;TEXT(W1,"D MMM")</f>
        <v>V. 49, 1 dec-7 dec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Måndag49</f>
        <v>45992</v>
      </c>
      <c r="C3" s="40">
        <v>0.70833333333333337</v>
      </c>
      <c r="D3" s="41">
        <v>0.83333333333333337</v>
      </c>
      <c r="E3" s="42"/>
      <c r="F3" s="43" t="s">
        <v>873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 t="shared" ref="A5" si="2">PROPER(TEXT(B5, "dddd"))</f>
        <v>Tisdag</v>
      </c>
      <c r="B5" s="195">
        <f t="shared" ref="B5" si="3">Tisdag49</f>
        <v>45993</v>
      </c>
      <c r="C5" s="40">
        <v>0.375</v>
      </c>
      <c r="D5" s="48">
        <v>0.4375</v>
      </c>
      <c r="E5" s="49">
        <v>33</v>
      </c>
      <c r="F5" s="50" t="s">
        <v>507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5"/>
      <c r="C6" s="40">
        <v>0.5625</v>
      </c>
      <c r="D6" s="48">
        <v>0.64583333333333337</v>
      </c>
      <c r="E6" s="49"/>
      <c r="F6" s="50" t="s">
        <v>587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/>
      <c r="B7" s="195"/>
      <c r="C7" s="40">
        <v>0.70833333333333337</v>
      </c>
      <c r="D7" s="48">
        <v>0.83333333333333337</v>
      </c>
      <c r="E7" s="49"/>
      <c r="F7" s="50" t="s">
        <v>873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193" t="s">
        <v>0</v>
      </c>
      <c r="B8" s="195" t="s">
        <v>1</v>
      </c>
      <c r="C8" s="44" t="s">
        <v>824</v>
      </c>
      <c r="D8" s="45" t="s">
        <v>2</v>
      </c>
      <c r="E8" s="46" t="s">
        <v>3</v>
      </c>
      <c r="F8" s="47" t="s">
        <v>4</v>
      </c>
    </row>
    <row r="9" spans="1:25" ht="15" customHeight="1" x14ac:dyDescent="0.3">
      <c r="A9" s="193" t="str">
        <f t="shared" ref="A9" si="4">PROPER(TEXT(B9, "dddd"))</f>
        <v>Onsdag</v>
      </c>
      <c r="B9" s="195">
        <f t="shared" ref="B9" si="5">Onsdag49</f>
        <v>45994</v>
      </c>
      <c r="C9" s="40">
        <v>0.375</v>
      </c>
      <c r="D9" s="48">
        <v>0.45833333333333331</v>
      </c>
      <c r="E9" s="49"/>
      <c r="F9" s="50" t="s">
        <v>737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0.41666666666666669</v>
      </c>
      <c r="D10" s="48">
        <v>0.5</v>
      </c>
      <c r="E10" s="49"/>
      <c r="F10" s="50" t="s">
        <v>643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0.4375</v>
      </c>
      <c r="D11" s="48">
        <v>0.47916666666666669</v>
      </c>
      <c r="E11" s="49" t="s">
        <v>79</v>
      </c>
      <c r="F11" s="50" t="s">
        <v>529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0.5</v>
      </c>
      <c r="D12" s="48">
        <v>0.58333333333333337</v>
      </c>
      <c r="E12" s="49">
        <v>34</v>
      </c>
      <c r="F12" s="50" t="s">
        <v>665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0.53125</v>
      </c>
      <c r="D13" s="48">
        <v>0.57291666666666663</v>
      </c>
      <c r="E13" s="49">
        <v>32</v>
      </c>
      <c r="F13" s="50" t="s">
        <v>529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/>
      <c r="B14" s="195"/>
      <c r="C14" s="40">
        <v>0.55555555555555558</v>
      </c>
      <c r="D14" s="48">
        <v>0.63888888888888884</v>
      </c>
      <c r="E14" s="49"/>
      <c r="F14" s="50" t="s">
        <v>28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s="10" customFormat="1" ht="15" customHeight="1" x14ac:dyDescent="0.3">
      <c r="A15" s="193"/>
      <c r="B15" s="195"/>
      <c r="C15" s="40">
        <v>0.55555555555555558</v>
      </c>
      <c r="D15" s="48">
        <v>0.63888888888888884</v>
      </c>
      <c r="E15" s="49"/>
      <c r="F15" s="50" t="s">
        <v>776</v>
      </c>
    </row>
    <row r="16" spans="1:25" ht="15" customHeight="1" x14ac:dyDescent="0.3">
      <c r="A16" s="193"/>
      <c r="B16" s="195"/>
      <c r="C16" s="40">
        <v>0.59375</v>
      </c>
      <c r="D16" s="48">
        <v>0.63541666666666663</v>
      </c>
      <c r="E16" s="49" t="s">
        <v>72</v>
      </c>
      <c r="F16" s="50" t="s">
        <v>529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0.70833333333333337</v>
      </c>
      <c r="D17" s="48">
        <v>0.83333333333333337</v>
      </c>
      <c r="E17" s="49"/>
      <c r="F17" s="50" t="s">
        <v>873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hidden="1" customHeight="1" x14ac:dyDescent="0.3">
      <c r="A18" s="193" t="s">
        <v>0</v>
      </c>
      <c r="B18" s="195" t="s">
        <v>1</v>
      </c>
      <c r="C18" s="44" t="s">
        <v>824</v>
      </c>
      <c r="D18" s="45" t="s">
        <v>2</v>
      </c>
      <c r="E18" s="46" t="s">
        <v>3</v>
      </c>
      <c r="F18" s="47" t="s">
        <v>4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 t="str">
        <f t="shared" ref="A19" si="6">PROPER(TEXT(B19, "dddd"))</f>
        <v>Torsdag</v>
      </c>
      <c r="B19" s="195">
        <f t="shared" ref="B19" si="7">Torsdag49</f>
        <v>45995</v>
      </c>
      <c r="C19" s="40">
        <v>0.375</v>
      </c>
      <c r="D19" s="48">
        <v>0.4375</v>
      </c>
      <c r="E19" s="49" t="s">
        <v>72</v>
      </c>
      <c r="F19" s="50" t="s">
        <v>507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/>
      <c r="B20" s="195"/>
      <c r="C20" s="40">
        <v>0.41666666666666669</v>
      </c>
      <c r="D20" s="48">
        <v>0.5</v>
      </c>
      <c r="E20" s="49"/>
      <c r="F20" s="50" t="s">
        <v>238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s="10" customFormat="1" ht="15" customHeight="1" x14ac:dyDescent="0.3">
      <c r="A21" s="193"/>
      <c r="B21" s="195"/>
      <c r="C21" s="40">
        <v>0.5</v>
      </c>
      <c r="D21" s="48">
        <v>0.58333333333333337</v>
      </c>
      <c r="E21" s="49">
        <v>35</v>
      </c>
      <c r="F21" s="50" t="s">
        <v>665</v>
      </c>
    </row>
    <row r="22" spans="1:24" ht="15" customHeight="1" x14ac:dyDescent="0.3">
      <c r="A22" s="193"/>
      <c r="B22" s="195"/>
      <c r="C22" s="40">
        <v>0.5625</v>
      </c>
      <c r="D22" s="48">
        <v>0.64583333333333337</v>
      </c>
      <c r="E22" s="49"/>
      <c r="F22" s="50" t="s">
        <v>218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193"/>
      <c r="B23" s="195"/>
      <c r="C23" s="40">
        <v>0.70833333333333337</v>
      </c>
      <c r="D23" s="48">
        <v>0.83333333333333337</v>
      </c>
      <c r="E23" s="49"/>
      <c r="F23" s="50" t="s">
        <v>873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193"/>
      <c r="B24" s="195"/>
      <c r="C24" s="40">
        <v>0.83333333333333337</v>
      </c>
      <c r="D24" s="48">
        <v>0.90625</v>
      </c>
      <c r="E24" s="49" t="s">
        <v>91</v>
      </c>
      <c r="F24" s="50" t="s">
        <v>731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hidden="1" customHeight="1" x14ac:dyDescent="0.3">
      <c r="A25" s="193" t="s">
        <v>0</v>
      </c>
      <c r="B25" s="195" t="s">
        <v>1</v>
      </c>
      <c r="C25" s="44" t="s">
        <v>824</v>
      </c>
      <c r="D25" s="45" t="s">
        <v>2</v>
      </c>
      <c r="E25" s="46" t="s">
        <v>3</v>
      </c>
      <c r="F25" s="47" t="s">
        <v>4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 t="str">
        <f t="shared" ref="A26" si="8">PROPER(TEXT(B26, "dddd"))</f>
        <v>Fredag</v>
      </c>
      <c r="B26" s="195">
        <f t="shared" ref="B26" si="9">Fredag49</f>
        <v>45996</v>
      </c>
      <c r="C26" s="40">
        <v>0.375</v>
      </c>
      <c r="D26" s="48">
        <v>0.44791666666666669</v>
      </c>
      <c r="E26" s="49"/>
      <c r="F26" s="50" t="s">
        <v>508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s="10" customFormat="1" ht="15" customHeight="1" x14ac:dyDescent="0.3">
      <c r="A27" s="193"/>
      <c r="B27" s="195"/>
      <c r="C27" s="40">
        <v>0.41666666666666669</v>
      </c>
      <c r="D27" s="48">
        <v>0.5</v>
      </c>
      <c r="E27" s="49"/>
      <c r="F27" s="50" t="s">
        <v>629</v>
      </c>
    </row>
    <row r="28" spans="1:24" ht="15" customHeight="1" x14ac:dyDescent="0.3">
      <c r="A28" s="193"/>
      <c r="B28" s="195"/>
      <c r="C28" s="40">
        <v>0.44791666666666669</v>
      </c>
      <c r="D28" s="48">
        <v>0.51041666666666663</v>
      </c>
      <c r="E28" s="49">
        <v>13</v>
      </c>
      <c r="F28" s="50" t="s">
        <v>507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193"/>
      <c r="B29" s="195"/>
      <c r="C29" s="40">
        <v>0.45833333333333331</v>
      </c>
      <c r="D29" s="48">
        <v>0.54166666666666663</v>
      </c>
      <c r="E29" s="49"/>
      <c r="F29" s="50" t="s">
        <v>800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193"/>
      <c r="B30" s="195"/>
      <c r="C30" s="40">
        <v>0.70833333333333337</v>
      </c>
      <c r="D30" s="48">
        <v>0.83333333333333337</v>
      </c>
      <c r="E30" s="49"/>
      <c r="F30" s="50" t="s">
        <v>873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hidden="1" customHeight="1" x14ac:dyDescent="0.3">
      <c r="A31" s="193" t="s">
        <v>0</v>
      </c>
      <c r="B31" s="195" t="s">
        <v>1</v>
      </c>
      <c r="C31" s="44" t="s">
        <v>824</v>
      </c>
      <c r="D31" s="45" t="s">
        <v>2</v>
      </c>
      <c r="E31" s="46" t="s">
        <v>3</v>
      </c>
      <c r="F31" s="47" t="s">
        <v>4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193" t="str">
        <f t="shared" ref="A32" si="10">PROPER(TEXT(B32, "dddd"))</f>
        <v>Lördag</v>
      </c>
      <c r="B32" s="195">
        <f t="shared" ref="B32" si="11">Lördag49</f>
        <v>45997</v>
      </c>
      <c r="C32" s="40">
        <v>0.375</v>
      </c>
      <c r="D32" s="48">
        <v>0.54166666666666663</v>
      </c>
      <c r="E32" s="49"/>
      <c r="F32" s="50" t="s">
        <v>683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s="10" customFormat="1" ht="15" customHeight="1" x14ac:dyDescent="0.3">
      <c r="A33" s="193"/>
      <c r="B33" s="195"/>
      <c r="C33" s="40">
        <v>0.625</v>
      </c>
      <c r="D33" s="48">
        <v>0.66666666666666663</v>
      </c>
      <c r="E33" s="49"/>
      <c r="F33" s="50" t="s">
        <v>561</v>
      </c>
    </row>
    <row r="34" spans="1:24" ht="15" customHeight="1" x14ac:dyDescent="0.3">
      <c r="A34" s="193"/>
      <c r="B34" s="195"/>
      <c r="C34" s="40">
        <v>0.66666666666666663</v>
      </c>
      <c r="D34" s="48">
        <v>0.875</v>
      </c>
      <c r="E34" s="49"/>
      <c r="F34" s="50" t="s">
        <v>1027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hidden="1" customHeight="1" x14ac:dyDescent="0.3">
      <c r="A35" s="193" t="s">
        <v>0</v>
      </c>
      <c r="B35" s="195" t="s">
        <v>1</v>
      </c>
      <c r="C35" s="44" t="s">
        <v>824</v>
      </c>
      <c r="D35" s="45" t="s">
        <v>2</v>
      </c>
      <c r="E35" s="46" t="s">
        <v>3</v>
      </c>
      <c r="F35" s="47" t="s">
        <v>4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customHeight="1" x14ac:dyDescent="0.3">
      <c r="A36" s="193" t="str">
        <f t="shared" ref="A36" si="12">PROPER(TEXT(B36, "dddd"))</f>
        <v>Söndag</v>
      </c>
      <c r="B36" s="195">
        <f t="shared" ref="B36" si="13">Söndag49</f>
        <v>45998</v>
      </c>
      <c r="C36" s="40">
        <v>0.375</v>
      </c>
      <c r="D36" s="48">
        <v>0.79166666666666663</v>
      </c>
      <c r="E36" s="49"/>
      <c r="F36" s="50" t="s">
        <v>873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8" spans="1:24" ht="15" customHeight="1" x14ac:dyDescent="0.3">
      <c r="C38" s="40"/>
      <c r="D38" s="41"/>
    </row>
    <row r="39" spans="1:24" ht="15" customHeight="1" x14ac:dyDescent="0.3">
      <c r="C39" s="40"/>
      <c r="D39" s="8"/>
    </row>
    <row r="40" spans="1:24" ht="15" customHeight="1" x14ac:dyDescent="0.3">
      <c r="C40" s="40"/>
      <c r="D40" s="8"/>
    </row>
  </sheetData>
  <sheetProtection algorithmName="SHA-512" hashValue="+GK3xgZBisDZz9OIy5mBSEkOnxtvXQZgSnELSMpVTAeyHqqIDSQ11tFoc2Sz7fIpkAAAwA3a/qAGnoAeqNTAYw==" saltValue="Z27H8/NwnfemeosyzwBNTw==" spinCount="100000" sheet="1" objects="1" scenarios="1" autoFilter="0" pivotTables="0"/>
  <sortState xmlns:xlrd2="http://schemas.microsoft.com/office/spreadsheetml/2017/richdata2" ref="A19:F24">
    <sortCondition ref="C19:C24"/>
  </sortState>
  <conditionalFormatting sqref="A3 A5:A7 A26:A30 A32:A34 A36 A9:A17 A19:A24">
    <cfRule type="cellIs" dxfId="104" priority="9" operator="equal">
      <formula>"Datum"</formula>
    </cfRule>
    <cfRule type="cellIs" dxfId="103" priority="10" operator="equal">
      <formula>"Dag"</formula>
    </cfRule>
    <cfRule type="expression" dxfId="102" priority="12">
      <formula>OR(IF($A2="Dag",1))</formula>
    </cfRule>
  </conditionalFormatting>
  <conditionalFormatting sqref="A35">
    <cfRule type="expression" dxfId="101" priority="30">
      <formula>OR(IF(#REF!="Dag",1))</formula>
    </cfRule>
  </conditionalFormatting>
  <conditionalFormatting sqref="A1:B2 B3 A4:B4 B5:B7 A8:B8 A18:B18 A25:B25 B26:B30 A31:B31 B32:B34 A35:B35 B36 A37:B1048576 B9:B17 B19:B24">
    <cfRule type="cellIs" dxfId="100" priority="22" operator="equal">
      <formula>"Datum"</formula>
    </cfRule>
    <cfRule type="cellIs" dxfId="99" priority="23" operator="equal">
      <formula>"Dag"</formula>
    </cfRule>
  </conditionalFormatting>
  <conditionalFormatting sqref="B19:B24 B3 B5:B7 B9:B17 B26:B30 B32:B34 B36">
    <cfRule type="expression" dxfId="98" priority="29">
      <formula>OR(IF($B2="Datum",1))</formula>
    </cfRule>
  </conditionalFormatting>
  <conditionalFormatting sqref="C19:D19 C20:E23 C24:D24 C3:E5 C7:E18 C25:E25 C27:E36">
    <cfRule type="expression" dxfId="97" priority="26">
      <formula>OR(IF($E3="Hela hallen",1))</formula>
    </cfRule>
  </conditionalFormatting>
  <conditionalFormatting sqref="L1:T1048576">
    <cfRule type="cellIs" dxfId="96" priority="21" operator="equal">
      <formula>"-"</formula>
    </cfRule>
  </conditionalFormatting>
  <conditionalFormatting sqref="A18">
    <cfRule type="expression" dxfId="95" priority="1328">
      <formula>OR(IF($A14="Dag",1))</formula>
    </cfRule>
  </conditionalFormatting>
  <conditionalFormatting sqref="B18">
    <cfRule type="expression" dxfId="94" priority="1332">
      <formula>OR(IF($B14="Datum",1))</formula>
    </cfRule>
  </conditionalFormatting>
  <conditionalFormatting sqref="C6:E6">
    <cfRule type="expression" dxfId="93" priority="7">
      <formula>OR(IF($E6="Hela hallen",1))</formula>
    </cfRule>
  </conditionalFormatting>
  <conditionalFormatting sqref="C26:E26">
    <cfRule type="expression" dxfId="92" priority="5">
      <formula>OR(IF($E26="Hela hallen",1))</formula>
    </cfRule>
  </conditionalFormatting>
  <conditionalFormatting sqref="E19">
    <cfRule type="expression" dxfId="91" priority="3">
      <formula>OR(IF($E19="Hela hallen",1))</formula>
    </cfRule>
  </conditionalFormatting>
  <conditionalFormatting sqref="A25">
    <cfRule type="expression" dxfId="90" priority="2630">
      <formula>OR(IF($A24="Dag",1))</formula>
    </cfRule>
  </conditionalFormatting>
  <conditionalFormatting sqref="B25">
    <cfRule type="expression" dxfId="89" priority="2634">
      <formula>OR(IF($B24="Datum",1))</formula>
    </cfRule>
  </conditionalFormatting>
  <conditionalFormatting sqref="E24">
    <cfRule type="expression" dxfId="88" priority="1">
      <formula>OR(IF($E24="Hela hallen",1))</formula>
    </cfRule>
  </conditionalFormatting>
  <conditionalFormatting sqref="C3:F36">
    <cfRule type="expression" dxfId="86" priority="3509">
      <formula>OR(IF(#REF!=TRUE,1))</formula>
    </cfRule>
  </conditionalFormatting>
  <conditionalFormatting sqref="A4 A8 A31">
    <cfRule type="expression" dxfId="85" priority="3510">
      <formula>OR(IF(#REF!="Dag",1))</formula>
    </cfRule>
  </conditionalFormatting>
  <conditionalFormatting sqref="B4 B8 B31 B35">
    <cfRule type="expression" dxfId="84" priority="3512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0AB0EE22-D11A-4C4B-A1FB-951EA9C58ED9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A5:B7 A9:B17 A19:B30 A32:B34 A36:B36</xm:sqref>
        </x14:conditionalFormatting>
        <x14:conditionalFormatting xmlns:xm="http://schemas.microsoft.com/office/excel/2006/main">
          <x14:cfRule type="expression" priority="3521" id="{6EDACF3B-CA11-4B04-B7B0-B458AC63007C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A8:B8 A31:B31 A35:B35</xm:sqref>
        </x14:conditionalFormatting>
        <x14:conditionalFormatting xmlns:xm="http://schemas.microsoft.com/office/excel/2006/main">
          <x14:cfRule type="expression" priority="3529" id="{6EDACF3B-CA11-4B04-B7B0-B458AC63007C}">
            <xm:f>AND(IF(ISERROR(MATCH($B18,Kalenderår!$A$3:$A$17,0)),FALSE,TRUE), IF($B14="Datum",TRUE,FALSE), IF($A14="Dag",TRUE,FALSE))</xm:f>
            <x14:dxf>
              <font>
                <color rgb="FFC00000"/>
              </font>
            </x14:dxf>
          </x14:cfRule>
          <xm:sqref>A18:B18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C07032-79CD-4000-A434-BABFB5D89FD7}">
          <x14:formula1>
            <xm:f>Kontaktuppgifter!$A$2:$A$300</xm:f>
          </x14:formula1>
          <xm:sqref>F3 F9:F17 F5:F7 F32:F34 F36 F26:F30 F19:F24</xm:sqref>
        </x14:dataValidation>
        <x14:dataValidation type="list" allowBlank="1" showInputMessage="1" showErrorMessage="1" xr:uid="{453F151E-C2FA-4F4D-9D8C-0DD23FE8707B}">
          <x14:formula1>
            <xm:f>Listor!$A$2:$A$150</xm:f>
          </x14:formula1>
          <xm:sqref>E3 E9:E17 E26:E30 E5:E7 E32:E34 E36 E19:E24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F6BA7-E0A3-457E-A6CB-B3D0D74F1623}">
  <sheetPr codeName="Blad51"/>
  <dimension ref="A1:Y37"/>
  <sheetViews>
    <sheetView showGridLines="0" zoomScaleNormal="100" workbookViewId="0">
      <pane ySplit="2" topLeftCell="A17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Måndag50</f>
        <v>45999</v>
      </c>
      <c r="W1" s="33">
        <f>Söndag50</f>
        <v>46005</v>
      </c>
      <c r="X1" s="34">
        <f>WEEKNUM(Söndag50, 2)</f>
        <v>50</v>
      </c>
      <c r="Y1" s="35" t="str">
        <f>"V. "&amp;X1&amp;", "&amp;TEXT(V1,"D MMM")&amp;"-"&amp;TEXT(W1,"D MMM")</f>
        <v>V. 50, 8 dec-14 dec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Måndag50</f>
        <v>45999</v>
      </c>
      <c r="C3" s="40">
        <v>0.70833333333333337</v>
      </c>
      <c r="D3" s="41">
        <v>0.83333333333333337</v>
      </c>
      <c r="E3" s="42"/>
      <c r="F3" s="43" t="s">
        <v>873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 t="shared" ref="A5" si="2">PROPER(TEXT(B5, "dddd"))</f>
        <v>Tisdag</v>
      </c>
      <c r="B5" s="195">
        <f t="shared" ref="B5" si="3">Tisdag50</f>
        <v>46000</v>
      </c>
      <c r="C5" s="40">
        <v>0.375</v>
      </c>
      <c r="D5" s="48">
        <v>0.4375</v>
      </c>
      <c r="E5" s="49">
        <v>33</v>
      </c>
      <c r="F5" s="50" t="s">
        <v>507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5"/>
      <c r="C6" s="40">
        <v>0.5625</v>
      </c>
      <c r="D6" s="48">
        <v>0.64583333333333337</v>
      </c>
      <c r="E6" s="49"/>
      <c r="F6" s="50" t="s">
        <v>587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/>
      <c r="B7" s="195"/>
      <c r="C7" s="40">
        <v>0.70833333333333337</v>
      </c>
      <c r="D7" s="48">
        <v>0.83333333333333337</v>
      </c>
      <c r="E7" s="49"/>
      <c r="F7" s="50" t="s">
        <v>873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193" t="s">
        <v>0</v>
      </c>
      <c r="B8" s="195" t="s">
        <v>1</v>
      </c>
      <c r="C8" s="44" t="s">
        <v>824</v>
      </c>
      <c r="D8" s="45" t="s">
        <v>2</v>
      </c>
      <c r="E8" s="46" t="s">
        <v>3</v>
      </c>
      <c r="F8" s="47" t="s">
        <v>4</v>
      </c>
    </row>
    <row r="9" spans="1:25" ht="15" customHeight="1" x14ac:dyDescent="0.3">
      <c r="A9" s="193" t="str">
        <f t="shared" ref="A9" si="4">PROPER(TEXT(B9, "dddd"))</f>
        <v>Onsdag</v>
      </c>
      <c r="B9" s="195">
        <f t="shared" ref="B9" si="5">Onsdag50</f>
        <v>46001</v>
      </c>
      <c r="C9" s="40">
        <v>0.375</v>
      </c>
      <c r="D9" s="48">
        <v>0.45833333333333331</v>
      </c>
      <c r="E9" s="49"/>
      <c r="F9" s="50" t="s">
        <v>737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0.41666666666666669</v>
      </c>
      <c r="D10" s="48">
        <v>0.5</v>
      </c>
      <c r="E10" s="49"/>
      <c r="F10" s="50" t="s">
        <v>643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0.4375</v>
      </c>
      <c r="D11" s="48">
        <v>0.47916666666666669</v>
      </c>
      <c r="E11" s="49" t="s">
        <v>79</v>
      </c>
      <c r="F11" s="50" t="s">
        <v>529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0.53125</v>
      </c>
      <c r="D12" s="48">
        <v>0.57291666666666663</v>
      </c>
      <c r="E12" s="49">
        <v>32</v>
      </c>
      <c r="F12" s="50" t="s">
        <v>529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0.55555555555555558</v>
      </c>
      <c r="D13" s="48">
        <v>0.63888888888888884</v>
      </c>
      <c r="E13" s="49"/>
      <c r="F13" s="50" t="s">
        <v>28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/>
      <c r="B14" s="195"/>
      <c r="C14" s="40">
        <v>0.55555555555555558</v>
      </c>
      <c r="D14" s="48">
        <v>0.63888888888888884</v>
      </c>
      <c r="E14" s="49"/>
      <c r="F14" s="50" t="s">
        <v>776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s="10" customFormat="1" ht="15" customHeight="1" x14ac:dyDescent="0.3">
      <c r="A15" s="193"/>
      <c r="B15" s="195"/>
      <c r="C15" s="40">
        <v>0.59375</v>
      </c>
      <c r="D15" s="48">
        <v>0.63541666666666663</v>
      </c>
      <c r="E15" s="49" t="s">
        <v>72</v>
      </c>
      <c r="F15" s="50" t="s">
        <v>529</v>
      </c>
    </row>
    <row r="16" spans="1:25" ht="15" customHeight="1" x14ac:dyDescent="0.3">
      <c r="A16" s="193"/>
      <c r="B16" s="195"/>
      <c r="C16" s="40">
        <v>0.70833333333333337</v>
      </c>
      <c r="D16" s="48">
        <v>0.83333333333333337</v>
      </c>
      <c r="E16" s="49"/>
      <c r="F16" s="50" t="s">
        <v>873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hidden="1" customHeight="1" x14ac:dyDescent="0.3">
      <c r="A17" s="193" t="s">
        <v>0</v>
      </c>
      <c r="B17" s="195" t="s">
        <v>1</v>
      </c>
      <c r="C17" s="44" t="s">
        <v>824</v>
      </c>
      <c r="D17" s="45" t="s">
        <v>2</v>
      </c>
      <c r="E17" s="46" t="s">
        <v>3</v>
      </c>
      <c r="F17" s="47" t="s">
        <v>4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 t="str">
        <f t="shared" ref="A18" si="6">PROPER(TEXT(B18, "dddd"))</f>
        <v>Torsdag</v>
      </c>
      <c r="B18" s="195">
        <f t="shared" ref="B18" si="7">Torsdag50</f>
        <v>46002</v>
      </c>
      <c r="C18" s="40">
        <v>0.375</v>
      </c>
      <c r="D18" s="48">
        <v>0.4375</v>
      </c>
      <c r="E18" s="49" t="s">
        <v>72</v>
      </c>
      <c r="F18" s="50" t="s">
        <v>507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/>
      <c r="B19" s="195"/>
      <c r="C19" s="40">
        <v>0.41666666666666669</v>
      </c>
      <c r="D19" s="48">
        <v>0.5</v>
      </c>
      <c r="E19" s="49"/>
      <c r="F19" s="50" t="s">
        <v>238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/>
      <c r="B20" s="195"/>
      <c r="C20" s="40">
        <v>0.5625</v>
      </c>
      <c r="D20" s="48">
        <v>0.64583333333333337</v>
      </c>
      <c r="E20" s="49"/>
      <c r="F20" s="50" t="s">
        <v>218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s="10" customFormat="1" ht="15" customHeight="1" x14ac:dyDescent="0.3">
      <c r="A21" s="193"/>
      <c r="B21" s="195"/>
      <c r="C21" s="40">
        <v>0.70833333333333337</v>
      </c>
      <c r="D21" s="48">
        <v>0.83333333333333337</v>
      </c>
      <c r="E21" s="49"/>
      <c r="F21" s="50" t="s">
        <v>873</v>
      </c>
    </row>
    <row r="22" spans="1:24" ht="15" customHeight="1" x14ac:dyDescent="0.3">
      <c r="A22" s="193"/>
      <c r="B22" s="195"/>
      <c r="C22" s="40">
        <v>0.83333333333333337</v>
      </c>
      <c r="D22" s="48">
        <v>0.90625</v>
      </c>
      <c r="E22" s="49" t="s">
        <v>91</v>
      </c>
      <c r="F22" s="50" t="s">
        <v>731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hidden="1" customHeight="1" x14ac:dyDescent="0.3">
      <c r="A23" s="193" t="s">
        <v>0</v>
      </c>
      <c r="B23" s="195" t="s">
        <v>1</v>
      </c>
      <c r="C23" s="44" t="s">
        <v>824</v>
      </c>
      <c r="D23" s="45" t="s">
        <v>2</v>
      </c>
      <c r="E23" s="46" t="s">
        <v>3</v>
      </c>
      <c r="F23" s="47" t="s">
        <v>4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193" t="str">
        <f t="shared" ref="A24" si="8">PROPER(TEXT(B24, "dddd"))</f>
        <v>Fredag</v>
      </c>
      <c r="B24" s="195">
        <f t="shared" ref="B24" si="9">Fredag50</f>
        <v>46003</v>
      </c>
      <c r="C24" s="40">
        <v>0.375</v>
      </c>
      <c r="D24" s="48">
        <v>0.44791666666666669</v>
      </c>
      <c r="E24" s="49"/>
      <c r="F24" s="50" t="s">
        <v>508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/>
      <c r="B25" s="195"/>
      <c r="C25" s="40">
        <v>0.41666666666666669</v>
      </c>
      <c r="D25" s="48">
        <v>0.5</v>
      </c>
      <c r="E25" s="49"/>
      <c r="F25" s="50" t="s">
        <v>629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/>
      <c r="B26" s="195"/>
      <c r="C26" s="40">
        <v>0.44791666666666669</v>
      </c>
      <c r="D26" s="48">
        <v>0.51041666666666663</v>
      </c>
      <c r="E26" s="49">
        <v>13</v>
      </c>
      <c r="F26" s="50" t="s">
        <v>507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s="10" customFormat="1" ht="15" customHeight="1" x14ac:dyDescent="0.3">
      <c r="A27" s="193"/>
      <c r="B27" s="195"/>
      <c r="C27" s="40">
        <v>0.45833333333333331</v>
      </c>
      <c r="D27" s="48">
        <v>0.54166666666666663</v>
      </c>
      <c r="E27" s="49"/>
      <c r="F27" s="50" t="s">
        <v>800</v>
      </c>
    </row>
    <row r="28" spans="1:24" ht="15" customHeight="1" x14ac:dyDescent="0.3">
      <c r="A28" s="193"/>
      <c r="B28" s="195"/>
      <c r="C28" s="40">
        <v>0.70833333333333337</v>
      </c>
      <c r="D28" s="48">
        <v>0.83333333333333337</v>
      </c>
      <c r="E28" s="49"/>
      <c r="F28" s="50" t="s">
        <v>873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hidden="1" customHeight="1" x14ac:dyDescent="0.3">
      <c r="A29" s="193" t="s">
        <v>0</v>
      </c>
      <c r="B29" s="195" t="s">
        <v>1</v>
      </c>
      <c r="C29" s="44" t="s">
        <v>824</v>
      </c>
      <c r="D29" s="45" t="s">
        <v>2</v>
      </c>
      <c r="E29" s="46" t="s">
        <v>3</v>
      </c>
      <c r="F29" s="47" t="s">
        <v>4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193" t="str">
        <f t="shared" ref="A30" si="10">PROPER(TEXT(B30, "dddd"))</f>
        <v>Lördag</v>
      </c>
      <c r="B30" s="195">
        <f t="shared" ref="B30" si="11">Lördag50</f>
        <v>46004</v>
      </c>
      <c r="C30" s="40">
        <v>0.375</v>
      </c>
      <c r="D30" s="48">
        <v>0.625</v>
      </c>
      <c r="E30" s="49"/>
      <c r="F30" s="50" t="s">
        <v>873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193"/>
      <c r="B31" s="195"/>
      <c r="C31" s="40">
        <v>0.625</v>
      </c>
      <c r="D31" s="48">
        <v>0.66666666666666663</v>
      </c>
      <c r="E31" s="49"/>
      <c r="F31" s="50" t="s">
        <v>561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hidden="1" customHeight="1" x14ac:dyDescent="0.3">
      <c r="A32" s="193" t="s">
        <v>0</v>
      </c>
      <c r="B32" s="195" t="s">
        <v>1</v>
      </c>
      <c r="C32" s="44" t="s">
        <v>824</v>
      </c>
      <c r="D32" s="45" t="s">
        <v>2</v>
      </c>
      <c r="E32" s="46" t="s">
        <v>3</v>
      </c>
      <c r="F32" s="47" t="s">
        <v>4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193" t="str">
        <f t="shared" ref="A33" si="12">PROPER(TEXT(B33, "dddd"))</f>
        <v>Söndag</v>
      </c>
      <c r="B33" s="195">
        <f t="shared" ref="B33" si="13">Söndag50</f>
        <v>46005</v>
      </c>
      <c r="C33" s="40">
        <v>0.375</v>
      </c>
      <c r="D33" s="48">
        <v>0.79166666666666663</v>
      </c>
      <c r="E33" s="49"/>
      <c r="F33" s="50" t="s">
        <v>873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5" spans="1:24" ht="15" customHeight="1" x14ac:dyDescent="0.3">
      <c r="C35" s="40"/>
      <c r="D35" s="41"/>
    </row>
    <row r="36" spans="1:24" ht="15" customHeight="1" x14ac:dyDescent="0.3">
      <c r="C36" s="40"/>
      <c r="D36" s="8"/>
    </row>
    <row r="37" spans="1:24" ht="15" customHeight="1" x14ac:dyDescent="0.3">
      <c r="C37" s="40"/>
      <c r="D37" s="8"/>
    </row>
  </sheetData>
  <sheetProtection algorithmName="SHA-512" hashValue="dTnfp8pG5gep90h+P3V+vbgqr42I3PCOafklUHU1JT8sF479iZsLDXgwNBSvTPkyvFhry5c7rLRDOyeF6sNjjQ==" saltValue="MX0KaMl0K42LnmI9fhmaSw==" spinCount="100000" sheet="1" objects="1" scenarios="1" autoFilter="0" pivotTables="0"/>
  <sortState xmlns:xlrd2="http://schemas.microsoft.com/office/spreadsheetml/2017/richdata2" ref="A18:F22">
    <sortCondition ref="C18:C22"/>
  </sortState>
  <conditionalFormatting sqref="A3 A5:A7 A18:A22 A24:A28 A30:A31 A33 A9:A16">
    <cfRule type="cellIs" dxfId="81" priority="9" operator="equal">
      <formula>"Datum"</formula>
    </cfRule>
    <cfRule type="cellIs" dxfId="80" priority="10" operator="equal">
      <formula>"Dag"</formula>
    </cfRule>
    <cfRule type="expression" dxfId="79" priority="12">
      <formula>OR(IF($A2="Dag",1))</formula>
    </cfRule>
  </conditionalFormatting>
  <conditionalFormatting sqref="A32">
    <cfRule type="expression" dxfId="78" priority="30">
      <formula>OR(IF(#REF!="Dag",1))</formula>
    </cfRule>
  </conditionalFormatting>
  <conditionalFormatting sqref="A1:B2 B3 A4:B4 B5:B7 A8:B8 A17:B17 B18:B22 A23:B23 B24:B28 A29:B29 B30:B31 A32:B32 B33 A34:B1048576 B9:B16">
    <cfRule type="cellIs" dxfId="77" priority="22" operator="equal">
      <formula>"Datum"</formula>
    </cfRule>
    <cfRule type="cellIs" dxfId="76" priority="23" operator="equal">
      <formula>"Dag"</formula>
    </cfRule>
  </conditionalFormatting>
  <conditionalFormatting sqref="B3 B5:B7 B9:B16 B18:B22 B24:B28 B30:B31 B33">
    <cfRule type="expression" dxfId="75" priority="29">
      <formula>OR(IF($B2="Datum",1))</formula>
    </cfRule>
  </conditionalFormatting>
  <conditionalFormatting sqref="C19:E21 C18:D18 C22:D22 C3:E5 C7:E17 C23:E23 C25:E33">
    <cfRule type="expression" dxfId="74" priority="26">
      <formula>OR(IF($E3="Hela hallen",1))</formula>
    </cfRule>
  </conditionalFormatting>
  <conditionalFormatting sqref="L1:T1048576">
    <cfRule type="cellIs" dxfId="73" priority="21" operator="equal">
      <formula>"-"</formula>
    </cfRule>
  </conditionalFormatting>
  <conditionalFormatting sqref="A17">
    <cfRule type="expression" dxfId="72" priority="1345">
      <formula>OR(IF($A14="Dag",1))</formula>
    </cfRule>
  </conditionalFormatting>
  <conditionalFormatting sqref="B17">
    <cfRule type="expression" dxfId="71" priority="1349">
      <formula>OR(IF($B14="Datum",1))</formula>
    </cfRule>
  </conditionalFormatting>
  <conditionalFormatting sqref="C6:E6">
    <cfRule type="expression" dxfId="70" priority="7">
      <formula>OR(IF($E6="Hela hallen",1))</formula>
    </cfRule>
  </conditionalFormatting>
  <conditionalFormatting sqref="C24:E24">
    <cfRule type="expression" dxfId="69" priority="5">
      <formula>OR(IF($E24="Hela hallen",1))</formula>
    </cfRule>
  </conditionalFormatting>
  <conditionalFormatting sqref="E18">
    <cfRule type="expression" dxfId="68" priority="3">
      <formula>OR(IF($E18="Hela hallen",1))</formula>
    </cfRule>
  </conditionalFormatting>
  <conditionalFormatting sqref="E22">
    <cfRule type="expression" dxfId="67" priority="1">
      <formula>OR(IF($E22="Hela hallen",1))</formula>
    </cfRule>
  </conditionalFormatting>
  <conditionalFormatting sqref="C3:F33">
    <cfRule type="expression" dxfId="65" priority="3531">
      <formula>OR(IF(#REF!=TRUE,1))</formula>
    </cfRule>
  </conditionalFormatting>
  <conditionalFormatting sqref="A4 A8 A23 A29">
    <cfRule type="expression" dxfId="64" priority="3532">
      <formula>OR(IF(#REF!="Dag",1))</formula>
    </cfRule>
  </conditionalFormatting>
  <conditionalFormatting sqref="B4 B8 B23 B29 B32">
    <cfRule type="expression" dxfId="63" priority="3534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585297BA-E0A7-48D2-A80B-7E69AD2F3939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A5:B7 A9:B16 A18:B22 A24:B28 A30:B31 A33:B33</xm:sqref>
        </x14:conditionalFormatting>
        <x14:conditionalFormatting xmlns:xm="http://schemas.microsoft.com/office/excel/2006/main">
          <x14:cfRule type="expression" priority="3543" id="{32941CD3-BC3E-4099-BF4C-069388CDCF79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A8:B8 A23:B23 A29:B29 A32:B32</xm:sqref>
        </x14:conditionalFormatting>
        <x14:conditionalFormatting xmlns:xm="http://schemas.microsoft.com/office/excel/2006/main">
          <x14:cfRule type="expression" priority="3551" id="{32941CD3-BC3E-4099-BF4C-069388CDCF79}">
            <xm:f>AND(IF(ISERROR(MATCH($B17,Kalenderår!$A$3:$A$17,0)),FALSE,TRUE), IF($B14="Datum",TRUE,FALSE), IF($A14="Dag",TRUE,FALSE))</xm:f>
            <x14:dxf>
              <font>
                <color rgb="FFC00000"/>
              </font>
            </x14:dxf>
          </x14:cfRule>
          <xm:sqref>A17:B17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7A4E6F0-B54E-4A22-81F1-29D8147345BD}">
          <x14:formula1>
            <xm:f>Listor!$A$2:$A$150</xm:f>
          </x14:formula1>
          <xm:sqref>E3 E9:E16 E24:E28 E5:E7 E30:E31 E33 E18:E22</xm:sqref>
        </x14:dataValidation>
        <x14:dataValidation type="list" allowBlank="1" showInputMessage="1" showErrorMessage="1" xr:uid="{04B40D5D-3F7B-467E-90D8-953A7C21E9FC}">
          <x14:formula1>
            <xm:f>Kontaktuppgifter!$A$2:$A$300</xm:f>
          </x14:formula1>
          <xm:sqref>F3 F9:F16 F18:F22 F5:F7 F30:F31 F33 F24:F28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55186-2E77-4852-B647-B11C324BF42D}">
  <sheetPr codeName="Blad52"/>
  <dimension ref="A1:Y35"/>
  <sheetViews>
    <sheetView showGridLines="0" zoomScaleNormal="100" workbookViewId="0">
      <pane ySplit="2" topLeftCell="A20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Måndag51</f>
        <v>46006</v>
      </c>
      <c r="W1" s="33">
        <f>Söndag51</f>
        <v>46012</v>
      </c>
      <c r="X1" s="34">
        <f>WEEKNUM(Söndag51, 2)</f>
        <v>51</v>
      </c>
      <c r="Y1" s="35" t="str">
        <f>"V. "&amp;X1&amp;", "&amp;TEXT(V1,"D MMM")&amp;"-"&amp;TEXT(W1,"D MMM")</f>
        <v>V. 51, 15 dec-21 dec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Måndag51</f>
        <v>46006</v>
      </c>
      <c r="C3" s="40">
        <v>0.70833333333333337</v>
      </c>
      <c r="D3" s="41">
        <v>0.83333333333333337</v>
      </c>
      <c r="E3" s="42"/>
      <c r="F3" s="43" t="s">
        <v>873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 t="shared" ref="A5" si="2">PROPER(TEXT(B5, "dddd"))</f>
        <v>Tisdag</v>
      </c>
      <c r="B5" s="195">
        <f t="shared" ref="B5" si="3">Tisdag51</f>
        <v>46007</v>
      </c>
      <c r="C5" s="40">
        <v>0.375</v>
      </c>
      <c r="D5" s="48">
        <v>0.4375</v>
      </c>
      <c r="E5" s="49">
        <v>33</v>
      </c>
      <c r="F5" s="50" t="s">
        <v>507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193"/>
      <c r="B6" s="195"/>
      <c r="C6" s="40">
        <v>0.5625</v>
      </c>
      <c r="D6" s="48">
        <v>0.64583333333333337</v>
      </c>
      <c r="E6" s="49"/>
      <c r="F6" s="50" t="s">
        <v>587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193"/>
      <c r="B7" s="195"/>
      <c r="C7" s="40">
        <v>0.70833333333333337</v>
      </c>
      <c r="D7" s="48">
        <v>0.83333333333333337</v>
      </c>
      <c r="E7" s="49"/>
      <c r="F7" s="50" t="s">
        <v>873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193" t="s">
        <v>0</v>
      </c>
      <c r="B8" s="195" t="s">
        <v>1</v>
      </c>
      <c r="C8" s="44" t="s">
        <v>824</v>
      </c>
      <c r="D8" s="45" t="s">
        <v>2</v>
      </c>
      <c r="E8" s="46" t="s">
        <v>3</v>
      </c>
      <c r="F8" s="47" t="s">
        <v>4</v>
      </c>
    </row>
    <row r="9" spans="1:25" ht="15" customHeight="1" x14ac:dyDescent="0.3">
      <c r="A9" s="193" t="str">
        <f t="shared" ref="A9" si="4">PROPER(TEXT(B9, "dddd"))</f>
        <v>Onsdag</v>
      </c>
      <c r="B9" s="195">
        <f t="shared" ref="B9" si="5">Onsdag51</f>
        <v>46008</v>
      </c>
      <c r="C9" s="40">
        <v>0.375</v>
      </c>
      <c r="D9" s="48">
        <v>0.45833333333333331</v>
      </c>
      <c r="E9" s="49"/>
      <c r="F9" s="50" t="s">
        <v>737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193"/>
      <c r="B10" s="195"/>
      <c r="C10" s="40">
        <v>0.39583333333333331</v>
      </c>
      <c r="D10" s="48">
        <v>0.47916666666666669</v>
      </c>
      <c r="E10" s="49" t="s">
        <v>117</v>
      </c>
      <c r="F10" s="50" t="s">
        <v>307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193"/>
      <c r="B11" s="195"/>
      <c r="C11" s="40">
        <v>0.41666666666666669</v>
      </c>
      <c r="D11" s="48">
        <v>0.5</v>
      </c>
      <c r="E11" s="49"/>
      <c r="F11" s="50" t="s">
        <v>643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193"/>
      <c r="B12" s="195"/>
      <c r="C12" s="40">
        <v>0.55555555555555558</v>
      </c>
      <c r="D12" s="48">
        <v>0.63888888888888884</v>
      </c>
      <c r="E12" s="49"/>
      <c r="F12" s="50" t="s">
        <v>28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193"/>
      <c r="B13" s="195"/>
      <c r="C13" s="40">
        <v>0.55555555555555558</v>
      </c>
      <c r="D13" s="48">
        <v>0.63888888888888884</v>
      </c>
      <c r="E13" s="49"/>
      <c r="F13" s="50" t="s">
        <v>776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193"/>
      <c r="B14" s="195"/>
      <c r="C14" s="40">
        <v>0.70833333333333337</v>
      </c>
      <c r="D14" s="48">
        <v>0.83333333333333337</v>
      </c>
      <c r="E14" s="49"/>
      <c r="F14" s="50" t="s">
        <v>873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hidden="1" customHeight="1" x14ac:dyDescent="0.3">
      <c r="A15" s="193" t="s">
        <v>0</v>
      </c>
      <c r="B15" s="195" t="s">
        <v>1</v>
      </c>
      <c r="C15" s="44" t="s">
        <v>824</v>
      </c>
      <c r="D15" s="45" t="s">
        <v>2</v>
      </c>
      <c r="E15" s="46" t="s">
        <v>3</v>
      </c>
      <c r="F15" s="47" t="s">
        <v>4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193" t="str">
        <f t="shared" ref="A16" si="6">PROPER(TEXT(B16, "dddd"))</f>
        <v>Torsdag</v>
      </c>
      <c r="B16" s="195">
        <f t="shared" ref="B16" si="7">Torsdag51</f>
        <v>46009</v>
      </c>
      <c r="C16" s="40">
        <v>0.375</v>
      </c>
      <c r="D16" s="48">
        <v>0.4375</v>
      </c>
      <c r="E16" s="49" t="s">
        <v>72</v>
      </c>
      <c r="F16" s="50" t="s">
        <v>507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193"/>
      <c r="B17" s="195"/>
      <c r="C17" s="40">
        <v>0.41666666666666669</v>
      </c>
      <c r="D17" s="48">
        <v>0.5</v>
      </c>
      <c r="E17" s="49"/>
      <c r="F17" s="50" t="s">
        <v>238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193"/>
      <c r="B18" s="195"/>
      <c r="C18" s="40">
        <v>0.5625</v>
      </c>
      <c r="D18" s="48">
        <v>0.64583333333333337</v>
      </c>
      <c r="E18" s="49"/>
      <c r="F18" s="50" t="s">
        <v>218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193"/>
      <c r="B19" s="195"/>
      <c r="C19" s="40">
        <v>0.70833333333333337</v>
      </c>
      <c r="D19" s="48">
        <v>0.83333333333333337</v>
      </c>
      <c r="E19" s="49"/>
      <c r="F19" s="50" t="s">
        <v>873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193"/>
      <c r="B20" s="195"/>
      <c r="C20" s="40">
        <v>0.83333333333333337</v>
      </c>
      <c r="D20" s="48">
        <v>0.90625</v>
      </c>
      <c r="E20" s="49" t="s">
        <v>91</v>
      </c>
      <c r="F20" s="50" t="s">
        <v>731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hidden="1" customHeight="1" x14ac:dyDescent="0.3">
      <c r="A21" s="193" t="s">
        <v>0</v>
      </c>
      <c r="B21" s="195" t="s">
        <v>1</v>
      </c>
      <c r="C21" s="44" t="s">
        <v>824</v>
      </c>
      <c r="D21" s="45" t="s">
        <v>2</v>
      </c>
      <c r="E21" s="46" t="s">
        <v>3</v>
      </c>
      <c r="F21" s="47" t="s">
        <v>4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193" t="str">
        <f t="shared" ref="A22" si="8">PROPER(TEXT(B22, "dddd"))</f>
        <v>Fredag</v>
      </c>
      <c r="B22" s="195">
        <f t="shared" ref="B22" si="9">Fredag51</f>
        <v>46010</v>
      </c>
      <c r="C22" s="40">
        <v>0.375</v>
      </c>
      <c r="D22" s="48">
        <v>0.44791666666666669</v>
      </c>
      <c r="E22" s="49"/>
      <c r="F22" s="50" t="s">
        <v>508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193"/>
      <c r="B23" s="195"/>
      <c r="C23" s="40">
        <v>0.41666666666666669</v>
      </c>
      <c r="D23" s="48">
        <v>0.5</v>
      </c>
      <c r="E23" s="49"/>
      <c r="F23" s="50" t="s">
        <v>629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193"/>
      <c r="B24" s="195"/>
      <c r="C24" s="40">
        <v>0.44791666666666669</v>
      </c>
      <c r="D24" s="48">
        <v>0.51041666666666663</v>
      </c>
      <c r="E24" s="49">
        <v>13</v>
      </c>
      <c r="F24" s="50" t="s">
        <v>507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193"/>
      <c r="B25" s="195"/>
      <c r="C25" s="40">
        <v>0.45833333333333331</v>
      </c>
      <c r="D25" s="48">
        <v>0.54166666666666663</v>
      </c>
      <c r="E25" s="49"/>
      <c r="F25" s="50" t="s">
        <v>800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193"/>
      <c r="B26" s="195"/>
      <c r="C26" s="40">
        <v>0.70833333333333337</v>
      </c>
      <c r="D26" s="48">
        <v>0.83333333333333337</v>
      </c>
      <c r="E26" s="49"/>
      <c r="F26" s="50" t="s">
        <v>873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hidden="1" customHeight="1" x14ac:dyDescent="0.3">
      <c r="A27" s="193" t="s">
        <v>0</v>
      </c>
      <c r="B27" s="195" t="s">
        <v>1</v>
      </c>
      <c r="C27" s="44" t="s">
        <v>824</v>
      </c>
      <c r="D27" s="45" t="s">
        <v>2</v>
      </c>
      <c r="E27" s="46" t="s">
        <v>3</v>
      </c>
      <c r="F27" s="47" t="s">
        <v>4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193" t="str">
        <f t="shared" ref="A28" si="10">PROPER(TEXT(B28, "dddd"))</f>
        <v>Lördag</v>
      </c>
      <c r="B28" s="195">
        <f t="shared" ref="B28" si="11">Lördag51</f>
        <v>46011</v>
      </c>
      <c r="C28" s="40">
        <v>0.375</v>
      </c>
      <c r="D28" s="48">
        <v>0.625</v>
      </c>
      <c r="E28" s="49"/>
      <c r="F28" s="50" t="s">
        <v>873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193"/>
      <c r="B29" s="195"/>
      <c r="C29" s="40">
        <v>0.625</v>
      </c>
      <c r="D29" s="48">
        <v>0.66666666666666663</v>
      </c>
      <c r="E29" s="49"/>
      <c r="F29" s="50" t="s">
        <v>561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hidden="1" customHeight="1" x14ac:dyDescent="0.3">
      <c r="A30" s="193" t="s">
        <v>0</v>
      </c>
      <c r="B30" s="195" t="s">
        <v>1</v>
      </c>
      <c r="C30" s="44" t="s">
        <v>824</v>
      </c>
      <c r="D30" s="45" t="s">
        <v>2</v>
      </c>
      <c r="E30" s="46" t="s">
        <v>3</v>
      </c>
      <c r="F30" s="47" t="s">
        <v>4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193" t="str">
        <f t="shared" ref="A31" si="12">PROPER(TEXT(B31, "dddd"))</f>
        <v>Söndag</v>
      </c>
      <c r="B31" s="195">
        <f t="shared" ref="B31" si="13">Söndag51</f>
        <v>46012</v>
      </c>
      <c r="C31" s="40">
        <v>0.375</v>
      </c>
      <c r="D31" s="48">
        <v>0.79166666666666663</v>
      </c>
      <c r="E31" s="49"/>
      <c r="F31" s="50" t="s">
        <v>873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3" spans="3:4" ht="15" customHeight="1" x14ac:dyDescent="0.3">
      <c r="C33" s="40"/>
      <c r="D33" s="41"/>
    </row>
    <row r="34" spans="3:4" ht="15" customHeight="1" x14ac:dyDescent="0.3">
      <c r="C34" s="40"/>
      <c r="D34" s="8"/>
    </row>
    <row r="35" spans="3:4" ht="15" customHeight="1" x14ac:dyDescent="0.3">
      <c r="C35" s="40"/>
      <c r="D35" s="8"/>
    </row>
  </sheetData>
  <sheetProtection algorithmName="SHA-512" hashValue="Civ8BAavGsLTBHx89MnY2FnPSBI2cZh2yFEoDqdvEq7A9p7Tznln9/AYoeiAmw9FXJf6mnoE53W3oU5tPLAQAQ==" saltValue="IF6W78wJ+yy/cozcP8lNXA==" spinCount="100000" sheet="1" objects="1" scenarios="1" autoFilter="0" pivotTables="0"/>
  <sortState xmlns:xlrd2="http://schemas.microsoft.com/office/spreadsheetml/2017/richdata2" ref="A16:F20">
    <sortCondition ref="C16:C20"/>
  </sortState>
  <conditionalFormatting sqref="A3 A5:A7 A16:A20 A22:A26 A28:A29 A31 A9:A14">
    <cfRule type="cellIs" dxfId="60" priority="7" operator="equal">
      <formula>"Datum"</formula>
    </cfRule>
    <cfRule type="cellIs" dxfId="59" priority="8" operator="equal">
      <formula>"Dag"</formula>
    </cfRule>
    <cfRule type="expression" dxfId="58" priority="10">
      <formula>OR(IF($A2="Dag",1))</formula>
    </cfRule>
  </conditionalFormatting>
  <conditionalFormatting sqref="A30">
    <cfRule type="expression" dxfId="57" priority="28">
      <formula>OR(IF(#REF!="Dag",1))</formula>
    </cfRule>
  </conditionalFormatting>
  <conditionalFormatting sqref="A1:B2 B3 A4:B4 B5:B7 A8:B8 A15:B15 B16:B20 A21:B21 B22:B26 A27:B27 B28:B29 A30:B30 B31 A32:B1048576 B9:B14">
    <cfRule type="cellIs" dxfId="56" priority="20" operator="equal">
      <formula>"Datum"</formula>
    </cfRule>
    <cfRule type="cellIs" dxfId="55" priority="21" operator="equal">
      <formula>"Dag"</formula>
    </cfRule>
  </conditionalFormatting>
  <conditionalFormatting sqref="B3 B5:B7 B9:B14 B16:B20 B22:B26 B28:B29 B31">
    <cfRule type="expression" dxfId="54" priority="27">
      <formula>OR(IF($B2="Datum",1))</formula>
    </cfRule>
  </conditionalFormatting>
  <conditionalFormatting sqref="C20:D20 C3:E5 C7:E19 C21:E21 C23:E31">
    <cfRule type="expression" dxfId="53" priority="24">
      <formula>OR(IF($E3="Hela hallen",1))</formula>
    </cfRule>
  </conditionalFormatting>
  <conditionalFormatting sqref="L1:T1048576">
    <cfRule type="cellIs" dxfId="52" priority="19" operator="equal">
      <formula>"-"</formula>
    </cfRule>
  </conditionalFormatting>
  <conditionalFormatting sqref="A15">
    <cfRule type="expression" dxfId="51" priority="1360">
      <formula>OR(IF($A14="Dag",1))</formula>
    </cfRule>
  </conditionalFormatting>
  <conditionalFormatting sqref="B15">
    <cfRule type="expression" dxfId="50" priority="1364">
      <formula>OR(IF($B14="Datum",1))</formula>
    </cfRule>
  </conditionalFormatting>
  <conditionalFormatting sqref="C6:E6">
    <cfRule type="expression" dxfId="49" priority="5">
      <formula>OR(IF($E6="Hela hallen",1))</formula>
    </cfRule>
  </conditionalFormatting>
  <conditionalFormatting sqref="C22:E22">
    <cfRule type="expression" dxfId="48" priority="3">
      <formula>OR(IF($E22="Hela hallen",1))</formula>
    </cfRule>
  </conditionalFormatting>
  <conditionalFormatting sqref="E20">
    <cfRule type="expression" dxfId="47" priority="1">
      <formula>OR(IF($E20="Hela hallen",1))</formula>
    </cfRule>
  </conditionalFormatting>
  <conditionalFormatting sqref="C3:F31">
    <cfRule type="expression" dxfId="45" priority="3553">
      <formula>OR(IF(#REF!=TRUE,1))</formula>
    </cfRule>
  </conditionalFormatting>
  <conditionalFormatting sqref="A4 A8 A21 A27">
    <cfRule type="expression" dxfId="44" priority="3554">
      <formula>OR(IF(#REF!="Dag",1))</formula>
    </cfRule>
  </conditionalFormatting>
  <conditionalFormatting sqref="B4 B8 B21 B27 B30">
    <cfRule type="expression" dxfId="43" priority="3556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E1B0372-0961-4EA8-8B04-A9008A943509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A5:B7 A9:B20 A22:B26 A28:B29 A31:B31</xm:sqref>
        </x14:conditionalFormatting>
        <x14:conditionalFormatting xmlns:xm="http://schemas.microsoft.com/office/excel/2006/main">
          <x14:cfRule type="expression" priority="3565" id="{00310B2C-26A8-4875-9866-92923D1A4220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A8:B8 A21:B21 A27:B27 A30:B30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57104E-6B96-45D7-BF2C-A97FF92995A7}">
          <x14:formula1>
            <xm:f>Listor!$A$2:$A$150</xm:f>
          </x14:formula1>
          <xm:sqref>E3 E9:E14 E22:E26 E5:E7 E28:E29 E31 E16:E20</xm:sqref>
        </x14:dataValidation>
        <x14:dataValidation type="list" allowBlank="1" showInputMessage="1" showErrorMessage="1" xr:uid="{0442F533-968C-4DE1-A0DC-43FC89DF5D67}">
          <x14:formula1>
            <xm:f>Kontaktuppgifter!$A$2:$A$300</xm:f>
          </x14:formula1>
          <xm:sqref>F3 F9:F14 F16:F20 F5:F7 F28:F29 F31 F22:F26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0816D-B690-4C40-8397-235B949B571E}">
  <sheetPr codeName="Blad53"/>
  <dimension ref="A1:Y19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Måndag52</f>
        <v>46013</v>
      </c>
      <c r="W1" s="33">
        <f>Söndag52</f>
        <v>46019</v>
      </c>
      <c r="X1" s="34">
        <f>WEEKNUM(Söndag52, 2)</f>
        <v>52</v>
      </c>
      <c r="Y1" s="35" t="str">
        <f>"V. "&amp;X1&amp;", "&amp;TEXT(V1,"D MMM")&amp;"-"&amp;TEXT(W1,"D MMM")</f>
        <v>V. 52, 22 dec-28 dec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Måndag52</f>
        <v>46013</v>
      </c>
      <c r="C3" s="40">
        <v>0.70833333333333337</v>
      </c>
      <c r="D3" s="41">
        <v>0.83333333333333337</v>
      </c>
      <c r="E3" s="42"/>
      <c r="F3" s="43" t="s">
        <v>873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 t="shared" ref="A5" si="2">PROPER(TEXT(B5, "dddd"))</f>
        <v>Tisdag</v>
      </c>
      <c r="B5" s="195">
        <f t="shared" ref="B5" si="3">Tisdag52</f>
        <v>46014</v>
      </c>
      <c r="C5" s="40">
        <v>0.70833333333333337</v>
      </c>
      <c r="D5" s="48">
        <v>0.83333333333333337</v>
      </c>
      <c r="E5" s="49"/>
      <c r="F5" s="50" t="s">
        <v>873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193" t="s">
        <v>0</v>
      </c>
      <c r="B6" s="195" t="s">
        <v>1</v>
      </c>
      <c r="C6" s="44" t="s">
        <v>824</v>
      </c>
      <c r="D6" s="45" t="s">
        <v>2</v>
      </c>
      <c r="E6" s="46" t="s">
        <v>3</v>
      </c>
      <c r="F6" s="47" t="s">
        <v>4</v>
      </c>
    </row>
    <row r="7" spans="1:25" ht="15" customHeight="1" x14ac:dyDescent="0.3">
      <c r="A7" s="193" t="str">
        <f t="shared" ref="A7" si="4">PROPER(TEXT(B7, "dddd"))</f>
        <v>Onsdag</v>
      </c>
      <c r="B7" s="195">
        <f t="shared" ref="B7" si="5">Onsdag52</f>
        <v>46015</v>
      </c>
      <c r="C7" s="40">
        <v>0.70833333333333337</v>
      </c>
      <c r="D7" s="48">
        <v>0.83333333333333337</v>
      </c>
      <c r="E7" s="49"/>
      <c r="F7" s="50" t="s">
        <v>873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193" t="s">
        <v>0</v>
      </c>
      <c r="B8" s="195" t="s">
        <v>1</v>
      </c>
      <c r="C8" s="44" t="s">
        <v>824</v>
      </c>
      <c r="D8" s="45" t="s">
        <v>2</v>
      </c>
      <c r="E8" s="46" t="s">
        <v>3</v>
      </c>
      <c r="F8" s="47" t="s">
        <v>4</v>
      </c>
    </row>
    <row r="9" spans="1:25" ht="15" customHeight="1" x14ac:dyDescent="0.3">
      <c r="A9" s="193" t="str">
        <f t="shared" ref="A9" si="6">PROPER(TEXT(B9, "dddd"))</f>
        <v>Torsdag</v>
      </c>
      <c r="B9" s="195">
        <f t="shared" ref="B9" si="7">Torsdag52</f>
        <v>46016</v>
      </c>
      <c r="C9" s="40">
        <v>0.70833333333333337</v>
      </c>
      <c r="D9" s="48">
        <v>0.83333333333333337</v>
      </c>
      <c r="E9" s="49"/>
      <c r="F9" s="50" t="s">
        <v>873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s="10" customFormat="1" ht="20.100000000000001" hidden="1" customHeight="1" x14ac:dyDescent="0.3">
      <c r="A10" s="193" t="s">
        <v>0</v>
      </c>
      <c r="B10" s="195" t="s">
        <v>1</v>
      </c>
      <c r="C10" s="44" t="s">
        <v>824</v>
      </c>
      <c r="D10" s="45" t="s">
        <v>2</v>
      </c>
      <c r="E10" s="46" t="s">
        <v>3</v>
      </c>
      <c r="F10" s="47" t="s">
        <v>4</v>
      </c>
    </row>
    <row r="11" spans="1:25" ht="15" customHeight="1" x14ac:dyDescent="0.3">
      <c r="A11" s="193" t="str">
        <f t="shared" ref="A11" si="8">PROPER(TEXT(B11, "dddd"))</f>
        <v>Fredag</v>
      </c>
      <c r="B11" s="195">
        <f t="shared" ref="B11" si="9">Fredag52</f>
        <v>46017</v>
      </c>
      <c r="C11" s="40">
        <v>0.70833333333333337</v>
      </c>
      <c r="D11" s="48">
        <v>0.83333333333333337</v>
      </c>
      <c r="E11" s="49"/>
      <c r="F11" s="50" t="s">
        <v>873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193" t="s">
        <v>0</v>
      </c>
      <c r="B12" s="195" t="s">
        <v>1</v>
      </c>
      <c r="C12" s="44" t="s">
        <v>824</v>
      </c>
      <c r="D12" s="45" t="s">
        <v>2</v>
      </c>
      <c r="E12" s="46" t="s">
        <v>3</v>
      </c>
      <c r="F12" s="47" t="s">
        <v>4</v>
      </c>
    </row>
    <row r="13" spans="1:25" ht="15" customHeight="1" x14ac:dyDescent="0.3">
      <c r="A13" s="193" t="str">
        <f t="shared" ref="A13" si="10">PROPER(TEXT(B13, "dddd"))</f>
        <v>Lördag</v>
      </c>
      <c r="B13" s="195">
        <f t="shared" ref="B13" si="11">Lördag52</f>
        <v>46018</v>
      </c>
      <c r="C13" s="40">
        <v>0.375</v>
      </c>
      <c r="D13" s="48">
        <v>0.625</v>
      </c>
      <c r="E13" s="49"/>
      <c r="F13" s="50" t="s">
        <v>873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193" t="s">
        <v>0</v>
      </c>
      <c r="B14" s="195" t="s">
        <v>1</v>
      </c>
      <c r="C14" s="44" t="s">
        <v>824</v>
      </c>
      <c r="D14" s="45" t="s">
        <v>2</v>
      </c>
      <c r="E14" s="46" t="s">
        <v>3</v>
      </c>
      <c r="F14" s="47" t="s">
        <v>4</v>
      </c>
    </row>
    <row r="15" spans="1:25" ht="15" customHeight="1" x14ac:dyDescent="0.3">
      <c r="A15" s="193" t="str">
        <f t="shared" ref="A15" si="12">PROPER(TEXT(B15, "dddd"))</f>
        <v>Söndag</v>
      </c>
      <c r="B15" s="195">
        <f t="shared" ref="B15" si="13">Söndag52</f>
        <v>46019</v>
      </c>
      <c r="C15" s="40">
        <v>0.375</v>
      </c>
      <c r="D15" s="48">
        <v>0.79166666666666663</v>
      </c>
      <c r="E15" s="49"/>
      <c r="F15" s="50" t="s">
        <v>873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7" spans="3:4" ht="15" customHeight="1" x14ac:dyDescent="0.3">
      <c r="C17" s="40"/>
      <c r="D17" s="41"/>
    </row>
    <row r="18" spans="3:4" ht="15" customHeight="1" x14ac:dyDescent="0.3">
      <c r="C18" s="40"/>
      <c r="D18" s="8"/>
    </row>
    <row r="19" spans="3:4" ht="15" customHeight="1" x14ac:dyDescent="0.3">
      <c r="C19" s="40"/>
      <c r="D19" s="8"/>
    </row>
  </sheetData>
  <sheetProtection algorithmName="SHA-512" hashValue="m12IBCpdVm7rPm3EIrMAelX4V4qoGVbaj0GQItKEzWFHvAusPhp92gsqpCTyPQWVnbDcCvTC9sPl6Oj8NYNaWA==" saltValue="Fwp2Kf0VhXNsHt1fnsNBTQ==" spinCount="100000" sheet="1" objects="1" scenarios="1" autoFilter="0" pivotTables="0"/>
  <sortState xmlns:xlrd2="http://schemas.microsoft.com/office/spreadsheetml/2017/richdata2" ref="A11:F11">
    <sortCondition ref="C11"/>
  </sortState>
  <conditionalFormatting sqref="A3 A5 A7 A9 A11 A13 A15">
    <cfRule type="cellIs" dxfId="41" priority="1" operator="equal">
      <formula>"Datum"</formula>
    </cfRule>
    <cfRule type="cellIs" dxfId="40" priority="2" operator="equal">
      <formula>"Dag"</formula>
    </cfRule>
    <cfRule type="expression" dxfId="39" priority="4">
      <formula>OR(IF($A2="Dag",1))</formula>
    </cfRule>
  </conditionalFormatting>
  <conditionalFormatting sqref="A14">
    <cfRule type="expression" dxfId="38" priority="22">
      <formula>OR(IF(#REF!="Dag",1))</formula>
    </cfRule>
  </conditionalFormatting>
  <conditionalFormatting sqref="A1:B2 B3 A4:B4 B5 A6:B6 B7 A8:B8 B9 A10:B10 B11 A12:B12 B13 A14:B14 B15 A16:B1048576">
    <cfRule type="cellIs" dxfId="37" priority="14" operator="equal">
      <formula>"Datum"</formula>
    </cfRule>
    <cfRule type="cellIs" dxfId="36" priority="15" operator="equal">
      <formula>"Dag"</formula>
    </cfRule>
  </conditionalFormatting>
  <conditionalFormatting sqref="B3 B5 B7 B9 B11 B13 B15">
    <cfRule type="expression" dxfId="35" priority="21">
      <formula>OR(IF($B2="Datum",1))</formula>
    </cfRule>
  </conditionalFormatting>
  <conditionalFormatting sqref="C3:E15">
    <cfRule type="expression" dxfId="34" priority="18">
      <formula>OR(IF($E3="Hela hallen",1))</formula>
    </cfRule>
  </conditionalFormatting>
  <conditionalFormatting sqref="L1:T1048576">
    <cfRule type="cellIs" dxfId="33" priority="13" operator="equal">
      <formula>"-"</formula>
    </cfRule>
  </conditionalFormatting>
  <conditionalFormatting sqref="C3:F15">
    <cfRule type="expression" dxfId="31" priority="3567">
      <formula>OR(IF(#REF!=TRUE,1))</formula>
    </cfRule>
  </conditionalFormatting>
  <conditionalFormatting sqref="A4 A6 A8 A10 A12">
    <cfRule type="expression" dxfId="30" priority="3568">
      <formula>OR(IF(#REF!="Dag",1))</formula>
    </cfRule>
  </conditionalFormatting>
  <conditionalFormatting sqref="B4 B6 B8 B10 B12 B14">
    <cfRule type="expression" dxfId="29" priority="3570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F5F02B8-BF1C-42B3-AC75-09106E46D2D9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A5:B5 A7:B7 A9:B9 A11:B11 A13:B13 A15:B15</xm:sqref>
        </x14:conditionalFormatting>
        <x14:conditionalFormatting xmlns:xm="http://schemas.microsoft.com/office/excel/2006/main">
          <x14:cfRule type="expression" priority="3579" id="{9B57A7B7-E9D6-459C-BE03-D0A475C366B7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A6:B6 A8:B8 A10:B10 A12:B12 A14:B14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609877D-50DB-40D0-9C43-9B81EF25649C}">
          <x14:formula1>
            <xm:f>Kontaktuppgifter!$A$2:$A$300</xm:f>
          </x14:formula1>
          <xm:sqref>F3 F5 F7 F9 F11 F13 F15</xm:sqref>
        </x14:dataValidation>
        <x14:dataValidation type="list" allowBlank="1" showInputMessage="1" showErrorMessage="1" xr:uid="{D6314C33-90E4-42A9-A397-09CB026F55DD}">
          <x14:formula1>
            <xm:f>Listor!$A$2:$A$150</xm:f>
          </x14:formula1>
          <xm:sqref>E3 E5 E7 E9 E11 E13 E15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89002-2206-422E-9F75-A32B32FDC09E}">
  <sheetPr codeName="Blad54"/>
  <dimension ref="A1:Y19"/>
  <sheetViews>
    <sheetView showGridLines="0" showRowColHeaders="0" zoomScaleNormal="100" workbookViewId="0"/>
  </sheetViews>
  <sheetFormatPr defaultColWidth="8.88671875" defaultRowHeight="15" customHeight="1" x14ac:dyDescent="0.3"/>
  <cols>
    <col min="1" max="1" width="8.88671875" style="30" customWidth="1"/>
    <col min="2" max="2" width="11.6640625" style="30" customWidth="1"/>
    <col min="3" max="3" width="7.6640625" style="3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2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29" t="str">
        <f>"HALLBOKNINGAR "&amp;Kalenderår!A1</f>
        <v>HALLBOKNINGAR 2025</v>
      </c>
      <c r="V1" s="33">
        <f>Måndag53</f>
        <v>46020</v>
      </c>
      <c r="W1" s="33">
        <f>Söndag53</f>
        <v>46026</v>
      </c>
      <c r="X1" s="34">
        <f>WEEKNUM(Söndag53, 2)</f>
        <v>1</v>
      </c>
      <c r="Y1" s="35" t="str">
        <f>"V. "&amp;X1&amp;", "&amp;TEXT(V1,"D MMM")&amp;"-"&amp;TEXT(W1,"D MMM")</f>
        <v>V. 1, 29 dec-4 jan</v>
      </c>
    </row>
    <row r="2" spans="1:25" s="39" customFormat="1" ht="15" customHeight="1" x14ac:dyDescent="0.3">
      <c r="A2" s="191" t="s">
        <v>0</v>
      </c>
      <c r="B2" s="192" t="s">
        <v>1</v>
      </c>
      <c r="C2" s="36" t="s">
        <v>824</v>
      </c>
      <c r="D2" s="37" t="s">
        <v>2</v>
      </c>
      <c r="E2" s="38" t="s">
        <v>3</v>
      </c>
      <c r="F2" s="38" t="s">
        <v>4</v>
      </c>
    </row>
    <row r="3" spans="1:25" ht="15" customHeight="1" x14ac:dyDescent="0.3">
      <c r="A3" s="193" t="str">
        <f t="shared" ref="A3" si="0">PROPER(TEXT(B3, "dddd"))</f>
        <v>Måndag</v>
      </c>
      <c r="B3" s="194">
        <f t="shared" ref="B3" si="1">Måndag53</f>
        <v>46020</v>
      </c>
      <c r="C3" s="40">
        <v>0.70833333333333337</v>
      </c>
      <c r="D3" s="41">
        <v>0.83333333333333337</v>
      </c>
      <c r="E3" s="42"/>
      <c r="F3" s="43" t="s">
        <v>873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193" t="s">
        <v>0</v>
      </c>
      <c r="B4" s="195" t="s">
        <v>1</v>
      </c>
      <c r="C4" s="44" t="s">
        <v>824</v>
      </c>
      <c r="D4" s="45" t="s">
        <v>2</v>
      </c>
      <c r="E4" s="46" t="s">
        <v>3</v>
      </c>
      <c r="F4" s="47" t="s">
        <v>4</v>
      </c>
    </row>
    <row r="5" spans="1:25" ht="15" customHeight="1" x14ac:dyDescent="0.3">
      <c r="A5" s="193" t="str">
        <f t="shared" ref="A5" si="2">PROPER(TEXT(B5, "dddd"))</f>
        <v>Tisdag</v>
      </c>
      <c r="B5" s="195">
        <f t="shared" ref="B5" si="3">Tisdag53</f>
        <v>46021</v>
      </c>
      <c r="C5" s="40">
        <v>0.70833333333333337</v>
      </c>
      <c r="D5" s="48">
        <v>0.83333333333333337</v>
      </c>
      <c r="E5" s="49"/>
      <c r="F5" s="50" t="s">
        <v>873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193" t="s">
        <v>0</v>
      </c>
      <c r="B6" s="195" t="s">
        <v>1</v>
      </c>
      <c r="C6" s="44" t="s">
        <v>824</v>
      </c>
      <c r="D6" s="45" t="s">
        <v>2</v>
      </c>
      <c r="E6" s="46" t="s">
        <v>3</v>
      </c>
      <c r="F6" s="47" t="s">
        <v>4</v>
      </c>
    </row>
    <row r="7" spans="1:25" ht="15" customHeight="1" x14ac:dyDescent="0.3">
      <c r="A7" s="193" t="str">
        <f t="shared" ref="A7" si="4">PROPER(TEXT(B7, "dddd"))</f>
        <v>Onsdag</v>
      </c>
      <c r="B7" s="195">
        <f t="shared" ref="B7" si="5">Onsdag53</f>
        <v>46022</v>
      </c>
      <c r="C7" s="40">
        <v>0.70833333333333337</v>
      </c>
      <c r="D7" s="48">
        <v>0.83333333333333337</v>
      </c>
      <c r="E7" s="49"/>
      <c r="F7" s="50" t="s">
        <v>873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193" t="s">
        <v>0</v>
      </c>
      <c r="B8" s="195" t="s">
        <v>1</v>
      </c>
      <c r="C8" s="44" t="s">
        <v>824</v>
      </c>
      <c r="D8" s="45" t="s">
        <v>2</v>
      </c>
      <c r="E8" s="46" t="s">
        <v>3</v>
      </c>
      <c r="F8" s="47" t="s">
        <v>4</v>
      </c>
    </row>
    <row r="9" spans="1:25" ht="15" customHeight="1" x14ac:dyDescent="0.3">
      <c r="A9" s="193" t="str">
        <f t="shared" ref="A9" si="6">PROPER(TEXT(B9, "dddd"))</f>
        <v>Torsdag</v>
      </c>
      <c r="B9" s="195">
        <f t="shared" ref="B9" si="7">Torsdag53</f>
        <v>46023</v>
      </c>
      <c r="C9" s="40">
        <v>0.70833333333333337</v>
      </c>
      <c r="D9" s="48">
        <v>0.83333333333333337</v>
      </c>
      <c r="E9" s="49"/>
      <c r="F9" s="50" t="s">
        <v>873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s="10" customFormat="1" ht="20.100000000000001" hidden="1" customHeight="1" x14ac:dyDescent="0.3">
      <c r="A10" s="193" t="s">
        <v>0</v>
      </c>
      <c r="B10" s="195" t="s">
        <v>1</v>
      </c>
      <c r="C10" s="44" t="s">
        <v>824</v>
      </c>
      <c r="D10" s="45" t="s">
        <v>2</v>
      </c>
      <c r="E10" s="46" t="s">
        <v>3</v>
      </c>
      <c r="F10" s="47" t="s">
        <v>4</v>
      </c>
    </row>
    <row r="11" spans="1:25" ht="15" customHeight="1" x14ac:dyDescent="0.3">
      <c r="A11" s="193" t="str">
        <f t="shared" ref="A11" si="8">PROPER(TEXT(B11, "dddd"))</f>
        <v>Fredag</v>
      </c>
      <c r="B11" s="195">
        <f t="shared" ref="B11" si="9">Fredag53</f>
        <v>46024</v>
      </c>
      <c r="C11" s="40">
        <v>0.70833333333333337</v>
      </c>
      <c r="D11" s="48">
        <v>0.83333333333333337</v>
      </c>
      <c r="E11" s="49"/>
      <c r="F11" s="50" t="s">
        <v>873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193" t="s">
        <v>0</v>
      </c>
      <c r="B12" s="195" t="s">
        <v>1</v>
      </c>
      <c r="C12" s="44" t="s">
        <v>824</v>
      </c>
      <c r="D12" s="45" t="s">
        <v>2</v>
      </c>
      <c r="E12" s="46" t="s">
        <v>3</v>
      </c>
      <c r="F12" s="47" t="s">
        <v>4</v>
      </c>
    </row>
    <row r="13" spans="1:25" ht="15" customHeight="1" x14ac:dyDescent="0.3">
      <c r="A13" s="193" t="str">
        <f t="shared" ref="A13" si="10">PROPER(TEXT(B13, "dddd"))</f>
        <v>Lördag</v>
      </c>
      <c r="B13" s="195">
        <f t="shared" ref="B13" si="11">Lördag53</f>
        <v>46025</v>
      </c>
      <c r="C13" s="40">
        <v>0.375</v>
      </c>
      <c r="D13" s="48">
        <v>0.625</v>
      </c>
      <c r="E13" s="49"/>
      <c r="F13" s="50" t="s">
        <v>873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193" t="s">
        <v>0</v>
      </c>
      <c r="B14" s="195" t="s">
        <v>1</v>
      </c>
      <c r="C14" s="44" t="s">
        <v>824</v>
      </c>
      <c r="D14" s="45" t="s">
        <v>2</v>
      </c>
      <c r="E14" s="46" t="s">
        <v>3</v>
      </c>
      <c r="F14" s="47" t="s">
        <v>4</v>
      </c>
    </row>
    <row r="15" spans="1:25" ht="15" customHeight="1" x14ac:dyDescent="0.3">
      <c r="A15" s="193" t="str">
        <f t="shared" ref="A15" si="12">PROPER(TEXT(B15, "dddd"))</f>
        <v>Söndag</v>
      </c>
      <c r="B15" s="195">
        <f t="shared" ref="B15" si="13">Söndag53</f>
        <v>46026</v>
      </c>
      <c r="C15" s="40">
        <v>0.375</v>
      </c>
      <c r="D15" s="48">
        <v>0.79166666666666663</v>
      </c>
      <c r="E15" s="49"/>
      <c r="F15" s="50" t="s">
        <v>873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7" spans="3:4" ht="15" customHeight="1" x14ac:dyDescent="0.3">
      <c r="C17" s="40"/>
      <c r="D17" s="41"/>
    </row>
    <row r="18" spans="3:4" ht="15" customHeight="1" x14ac:dyDescent="0.3">
      <c r="C18" s="40"/>
      <c r="D18" s="8"/>
    </row>
    <row r="19" spans="3:4" ht="15" customHeight="1" x14ac:dyDescent="0.3">
      <c r="C19" s="40"/>
      <c r="D19" s="8"/>
    </row>
  </sheetData>
  <sheetProtection algorithmName="SHA-512" hashValue="NRa7dbh6kTW3hdLLEuT8azOvjl32B1Y0bYgjr3LP4BYyKQSOAey8OiUpwN2YzXkxL06EzxtBAVVlZE6JBMRthA==" saltValue="932akE2yAqLbRgqbu3RSVQ==" spinCount="100000" sheet="1" objects="1" scenarios="1" autoFilter="0" pivotTables="0"/>
  <sortState xmlns:xlrd2="http://schemas.microsoft.com/office/spreadsheetml/2017/richdata2" ref="A11:F11">
    <sortCondition ref="C11"/>
  </sortState>
  <conditionalFormatting sqref="A3 A5 A7 A9 A11 A13 A15">
    <cfRule type="cellIs" dxfId="27" priority="1" operator="equal">
      <formula>"Datum"</formula>
    </cfRule>
    <cfRule type="cellIs" dxfId="26" priority="2" operator="equal">
      <formula>"Dag"</formula>
    </cfRule>
    <cfRule type="expression" dxfId="25" priority="4">
      <formula>OR(IF($A2="Dag",1))</formula>
    </cfRule>
  </conditionalFormatting>
  <conditionalFormatting sqref="A14">
    <cfRule type="expression" dxfId="24" priority="22">
      <formula>OR(IF(#REF!="Dag",1))</formula>
    </cfRule>
  </conditionalFormatting>
  <conditionalFormatting sqref="A1:B2 B3 A4:B4 B5 A6:B6 B7 A8:B8 B9 A10:B10 B11 A12:B12 B13 A14:B14 B15 A16:B1048576">
    <cfRule type="cellIs" dxfId="23" priority="14" operator="equal">
      <formula>"Datum"</formula>
    </cfRule>
    <cfRule type="cellIs" dxfId="22" priority="15" operator="equal">
      <formula>"Dag"</formula>
    </cfRule>
  </conditionalFormatting>
  <conditionalFormatting sqref="B3 B5 B7 B9 B11 B13 B15">
    <cfRule type="expression" dxfId="21" priority="21">
      <formula>OR(IF($B2="Datum",1))</formula>
    </cfRule>
  </conditionalFormatting>
  <conditionalFormatting sqref="C3:E15">
    <cfRule type="expression" dxfId="20" priority="18">
      <formula>OR(IF($E3="Hela hallen",1))</formula>
    </cfRule>
  </conditionalFormatting>
  <conditionalFormatting sqref="L1:T1048576">
    <cfRule type="cellIs" dxfId="19" priority="13" operator="equal">
      <formula>"-"</formula>
    </cfRule>
  </conditionalFormatting>
  <conditionalFormatting sqref="C3:F15">
    <cfRule type="expression" dxfId="17" priority="3581">
      <formula>OR(IF(#REF!=TRUE,1))</formula>
    </cfRule>
  </conditionalFormatting>
  <conditionalFormatting sqref="A4 A6 A8 A10 A12">
    <cfRule type="expression" dxfId="16" priority="3582">
      <formula>OR(IF(#REF!="Dag",1))</formula>
    </cfRule>
  </conditionalFormatting>
  <conditionalFormatting sqref="B4 B6 B8 B10 B12 B14">
    <cfRule type="expression" dxfId="15" priority="3584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B851C58-5FB0-481E-AFAF-87B7D2B8EC5A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A5:B5 A7:B7 A9:B9 A11:B11 A13:B13 A15:B15</xm:sqref>
        </x14:conditionalFormatting>
        <x14:conditionalFormatting xmlns:xm="http://schemas.microsoft.com/office/excel/2006/main">
          <x14:cfRule type="expression" priority="3593" id="{4A4B1387-A3E6-413A-A368-BCC80055C8FE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A6:B6 A8:B8 A10:B10 A12:B12 A14:B14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3DDAE14-63E5-42FA-8EDA-D25320CF5F77}">
          <x14:formula1>
            <xm:f>Kontaktuppgifter!$A$2:$A$300</xm:f>
          </x14:formula1>
          <xm:sqref>F3 F5 F7 F9 F11 F13 F15</xm:sqref>
        </x14:dataValidation>
        <x14:dataValidation type="list" allowBlank="1" showInputMessage="1" showErrorMessage="1" xr:uid="{95B6AC94-BB15-408F-9120-5B25CEE2E6AE}">
          <x14:formula1>
            <xm:f>Listor!$A$2:$A$150</xm:f>
          </x14:formula1>
          <xm:sqref>E3 E5 E7 E9 E11 E13 E15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C39EB-977A-4D6F-9239-CDC8AD5E8E83}">
  <sheetPr codeName="Blad56"/>
  <dimension ref="A1:V300"/>
  <sheetViews>
    <sheetView topLeftCell="A214" workbookViewId="0">
      <selection activeCell="A232" sqref="A232"/>
    </sheetView>
  </sheetViews>
  <sheetFormatPr defaultColWidth="9.109375" defaultRowHeight="14.4" x14ac:dyDescent="0.3"/>
  <cols>
    <col min="1" max="1" width="43" bestFit="1" customWidth="1"/>
    <col min="2" max="2" width="84.33203125" bestFit="1" customWidth="1"/>
    <col min="3" max="3" width="43.6640625" bestFit="1" customWidth="1"/>
    <col min="4" max="4" width="24" bestFit="1" customWidth="1"/>
    <col min="5" max="5" width="32.88671875" bestFit="1" customWidth="1"/>
    <col min="6" max="6" width="24.6640625" style="3" bestFit="1" customWidth="1"/>
    <col min="7" max="7" width="45.6640625" bestFit="1" customWidth="1"/>
    <col min="8" max="8" width="24.88671875" bestFit="1" customWidth="1"/>
    <col min="9" max="9" width="16.44140625" bestFit="1" customWidth="1"/>
    <col min="10" max="10" width="14.109375" bestFit="1" customWidth="1"/>
  </cols>
  <sheetData>
    <row r="1" spans="1:22" s="2" customFormat="1" ht="15" customHeight="1" x14ac:dyDescent="0.3">
      <c r="A1" s="10" t="s">
        <v>4</v>
      </c>
      <c r="B1" s="10" t="s">
        <v>10</v>
      </c>
      <c r="C1" s="10" t="s">
        <v>11</v>
      </c>
      <c r="D1" s="10" t="s">
        <v>12</v>
      </c>
      <c r="E1" s="10" t="s">
        <v>7</v>
      </c>
      <c r="F1" s="13" t="s">
        <v>8</v>
      </c>
      <c r="G1" s="10" t="s">
        <v>9</v>
      </c>
      <c r="H1" s="10" t="s">
        <v>13</v>
      </c>
      <c r="I1" s="10" t="s">
        <v>14</v>
      </c>
      <c r="J1" s="10" t="s">
        <v>15</v>
      </c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15" customHeight="1" x14ac:dyDescent="0.3">
      <c r="A2" t="s">
        <v>134</v>
      </c>
      <c r="B2" t="s">
        <v>134</v>
      </c>
      <c r="C2" t="s">
        <v>134</v>
      </c>
      <c r="D2" t="s">
        <v>134</v>
      </c>
      <c r="E2" t="s">
        <v>134</v>
      </c>
      <c r="F2" s="3" t="s">
        <v>134</v>
      </c>
      <c r="G2" t="s">
        <v>134</v>
      </c>
      <c r="H2" t="s">
        <v>134</v>
      </c>
      <c r="I2" t="s">
        <v>134</v>
      </c>
      <c r="J2" s="11" t="s">
        <v>134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5" customHeight="1" x14ac:dyDescent="0.3">
      <c r="A3" t="s">
        <v>135</v>
      </c>
      <c r="B3" t="s">
        <v>134</v>
      </c>
      <c r="C3" t="s">
        <v>134</v>
      </c>
      <c r="D3" t="s">
        <v>134</v>
      </c>
      <c r="E3" t="s">
        <v>136</v>
      </c>
      <c r="F3" s="3" t="s">
        <v>134</v>
      </c>
      <c r="G3" t="s">
        <v>134</v>
      </c>
      <c r="H3" t="s">
        <v>134</v>
      </c>
      <c r="I3" t="s">
        <v>134</v>
      </c>
      <c r="J3" s="11" t="s">
        <v>134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x14ac:dyDescent="0.3">
      <c r="A4" t="s">
        <v>137</v>
      </c>
      <c r="B4" t="s">
        <v>138</v>
      </c>
      <c r="C4" t="s">
        <v>139</v>
      </c>
      <c r="D4" t="s">
        <v>140</v>
      </c>
      <c r="E4" t="s">
        <v>141</v>
      </c>
      <c r="F4" s="3" t="s">
        <v>134</v>
      </c>
      <c r="G4" t="s">
        <v>139</v>
      </c>
      <c r="H4" t="s">
        <v>134</v>
      </c>
      <c r="I4" t="s">
        <v>134</v>
      </c>
      <c r="J4" s="11" t="s">
        <v>134</v>
      </c>
    </row>
    <row r="5" spans="1:22" x14ac:dyDescent="0.3">
      <c r="A5" t="s">
        <v>830</v>
      </c>
      <c r="B5" t="s">
        <v>134</v>
      </c>
      <c r="C5" t="s">
        <v>134</v>
      </c>
      <c r="D5" t="s">
        <v>134</v>
      </c>
      <c r="E5" t="s">
        <v>831</v>
      </c>
      <c r="F5" s="3" t="s">
        <v>134</v>
      </c>
      <c r="G5" s="4" t="s">
        <v>832</v>
      </c>
      <c r="H5" t="s">
        <v>134</v>
      </c>
      <c r="I5" t="s">
        <v>134</v>
      </c>
      <c r="J5" s="11" t="s">
        <v>134</v>
      </c>
    </row>
    <row r="6" spans="1:22" x14ac:dyDescent="0.3">
      <c r="A6" t="s">
        <v>142</v>
      </c>
      <c r="B6" t="s">
        <v>143</v>
      </c>
      <c r="C6" t="s">
        <v>134</v>
      </c>
      <c r="D6" t="s">
        <v>144</v>
      </c>
      <c r="E6" t="s">
        <v>145</v>
      </c>
      <c r="F6" s="3" t="s">
        <v>146</v>
      </c>
      <c r="G6" t="s">
        <v>147</v>
      </c>
      <c r="H6" t="s">
        <v>134</v>
      </c>
      <c r="I6" t="s">
        <v>134</v>
      </c>
      <c r="J6" s="11" t="s">
        <v>134</v>
      </c>
    </row>
    <row r="7" spans="1:22" x14ac:dyDescent="0.3">
      <c r="A7" t="s">
        <v>149</v>
      </c>
      <c r="B7" t="s">
        <v>134</v>
      </c>
      <c r="C7" t="s">
        <v>134</v>
      </c>
      <c r="D7" t="s">
        <v>134</v>
      </c>
      <c r="E7" t="s">
        <v>150</v>
      </c>
      <c r="F7" s="3" t="s">
        <v>151</v>
      </c>
      <c r="G7" t="s">
        <v>152</v>
      </c>
      <c r="H7" t="s">
        <v>134</v>
      </c>
      <c r="I7" t="s">
        <v>134</v>
      </c>
      <c r="J7" s="11" t="s">
        <v>134</v>
      </c>
    </row>
    <row r="8" spans="1:22" x14ac:dyDescent="0.3">
      <c r="A8" t="s">
        <v>153</v>
      </c>
      <c r="B8" t="s">
        <v>134</v>
      </c>
      <c r="C8" t="s">
        <v>134</v>
      </c>
      <c r="D8" t="s">
        <v>134</v>
      </c>
      <c r="E8" t="s">
        <v>154</v>
      </c>
      <c r="F8" s="3" t="s">
        <v>155</v>
      </c>
      <c r="G8" t="s">
        <v>156</v>
      </c>
      <c r="H8" t="s">
        <v>134</v>
      </c>
      <c r="I8" t="s">
        <v>134</v>
      </c>
      <c r="J8" s="11" t="s">
        <v>134</v>
      </c>
    </row>
    <row r="9" spans="1:22" x14ac:dyDescent="0.3">
      <c r="A9" t="s">
        <v>833</v>
      </c>
      <c r="B9" t="s">
        <v>134</v>
      </c>
      <c r="C9" t="s">
        <v>134</v>
      </c>
      <c r="D9" t="s">
        <v>158</v>
      </c>
      <c r="E9" t="s">
        <v>835</v>
      </c>
      <c r="F9" s="3" t="s">
        <v>836</v>
      </c>
      <c r="G9" s="4" t="s">
        <v>834</v>
      </c>
      <c r="H9" t="s">
        <v>134</v>
      </c>
      <c r="I9" t="s">
        <v>134</v>
      </c>
      <c r="J9" s="11" t="s">
        <v>134</v>
      </c>
    </row>
    <row r="10" spans="1:22" x14ac:dyDescent="0.3">
      <c r="A10" t="s">
        <v>956</v>
      </c>
      <c r="B10" t="s">
        <v>134</v>
      </c>
      <c r="C10" t="s">
        <v>134</v>
      </c>
      <c r="D10" t="s">
        <v>158</v>
      </c>
      <c r="E10" t="s">
        <v>957</v>
      </c>
      <c r="F10" s="3">
        <v>704427696</v>
      </c>
      <c r="G10" s="4" t="s">
        <v>955</v>
      </c>
      <c r="H10" t="s">
        <v>134</v>
      </c>
      <c r="I10" t="s">
        <v>134</v>
      </c>
      <c r="J10" s="11" t="s">
        <v>134</v>
      </c>
    </row>
    <row r="11" spans="1:22" x14ac:dyDescent="0.3">
      <c r="A11" t="s">
        <v>842</v>
      </c>
      <c r="B11" t="s">
        <v>134</v>
      </c>
      <c r="C11" t="s">
        <v>134</v>
      </c>
      <c r="D11" t="s">
        <v>158</v>
      </c>
      <c r="E11" t="s">
        <v>843</v>
      </c>
      <c r="F11" s="3" t="s">
        <v>845</v>
      </c>
      <c r="G11" s="4" t="s">
        <v>844</v>
      </c>
      <c r="H11" t="s">
        <v>134</v>
      </c>
      <c r="I11" t="s">
        <v>134</v>
      </c>
      <c r="J11" s="11" t="s">
        <v>134</v>
      </c>
    </row>
    <row r="12" spans="1:22" x14ac:dyDescent="0.3">
      <c r="A12" t="s">
        <v>1006</v>
      </c>
      <c r="B12" t="s">
        <v>134</v>
      </c>
      <c r="C12" s="4" t="s">
        <v>1007</v>
      </c>
      <c r="D12" t="s">
        <v>134</v>
      </c>
      <c r="E12" t="s">
        <v>1008</v>
      </c>
      <c r="F12" s="3" t="s">
        <v>1009</v>
      </c>
      <c r="G12" s="4" t="s">
        <v>1007</v>
      </c>
      <c r="H12" t="s">
        <v>134</v>
      </c>
      <c r="I12" t="s">
        <v>134</v>
      </c>
      <c r="J12" s="11" t="s">
        <v>134</v>
      </c>
    </row>
    <row r="13" spans="1:22" x14ac:dyDescent="0.3">
      <c r="A13" t="s">
        <v>847</v>
      </c>
      <c r="B13" t="s">
        <v>134</v>
      </c>
      <c r="C13" t="s">
        <v>134</v>
      </c>
      <c r="D13" t="s">
        <v>158</v>
      </c>
      <c r="E13" t="s">
        <v>848</v>
      </c>
      <c r="F13" s="3" t="s">
        <v>849</v>
      </c>
      <c r="G13" s="4" t="s">
        <v>850</v>
      </c>
      <c r="H13" t="s">
        <v>134</v>
      </c>
      <c r="I13" t="s">
        <v>134</v>
      </c>
      <c r="J13" s="11" t="s">
        <v>134</v>
      </c>
    </row>
    <row r="14" spans="1:22" x14ac:dyDescent="0.3">
      <c r="A14" t="s">
        <v>157</v>
      </c>
      <c r="B14" t="s">
        <v>134</v>
      </c>
      <c r="C14" t="s">
        <v>134</v>
      </c>
      <c r="D14" t="s">
        <v>158</v>
      </c>
      <c r="E14" t="s">
        <v>159</v>
      </c>
      <c r="F14" s="3" t="s">
        <v>160</v>
      </c>
      <c r="G14" t="s">
        <v>161</v>
      </c>
      <c r="H14" t="s">
        <v>134</v>
      </c>
      <c r="I14" t="s">
        <v>134</v>
      </c>
      <c r="J14" s="11" t="s">
        <v>134</v>
      </c>
    </row>
    <row r="15" spans="1:22" x14ac:dyDescent="0.3">
      <c r="A15" t="s">
        <v>162</v>
      </c>
      <c r="B15" t="s">
        <v>134</v>
      </c>
      <c r="C15" t="s">
        <v>134</v>
      </c>
      <c r="D15" t="s">
        <v>134</v>
      </c>
      <c r="E15" t="s">
        <v>163</v>
      </c>
      <c r="F15" s="3" t="s">
        <v>164</v>
      </c>
      <c r="G15" t="s">
        <v>165</v>
      </c>
      <c r="H15" t="s">
        <v>134</v>
      </c>
      <c r="I15" t="s">
        <v>134</v>
      </c>
      <c r="J15" s="11" t="s">
        <v>134</v>
      </c>
    </row>
    <row r="16" spans="1:22" x14ac:dyDescent="0.3">
      <c r="A16" t="s">
        <v>925</v>
      </c>
      <c r="B16" t="s">
        <v>134</v>
      </c>
      <c r="C16" t="s">
        <v>134</v>
      </c>
      <c r="D16" t="s">
        <v>158</v>
      </c>
      <c r="E16" t="s">
        <v>926</v>
      </c>
      <c r="F16" s="3" t="s">
        <v>927</v>
      </c>
      <c r="G16" t="s">
        <v>165</v>
      </c>
      <c r="H16" t="s">
        <v>134</v>
      </c>
      <c r="I16" t="s">
        <v>134</v>
      </c>
      <c r="J16" s="11" t="s">
        <v>134</v>
      </c>
    </row>
    <row r="17" spans="1:10" x14ac:dyDescent="0.3">
      <c r="A17" t="s">
        <v>166</v>
      </c>
      <c r="B17" t="s">
        <v>134</v>
      </c>
      <c r="C17" t="s">
        <v>134</v>
      </c>
      <c r="D17" t="s">
        <v>167</v>
      </c>
      <c r="E17" t="s">
        <v>168</v>
      </c>
      <c r="F17" s="3" t="s">
        <v>169</v>
      </c>
      <c r="G17" t="s">
        <v>170</v>
      </c>
      <c r="H17" t="s">
        <v>134</v>
      </c>
      <c r="I17" t="s">
        <v>134</v>
      </c>
      <c r="J17" s="11" t="s">
        <v>134</v>
      </c>
    </row>
    <row r="18" spans="1:10" x14ac:dyDescent="0.3">
      <c r="A18" t="s">
        <v>1023</v>
      </c>
      <c r="B18" t="s">
        <v>134</v>
      </c>
      <c r="C18" t="s">
        <v>134</v>
      </c>
      <c r="D18" t="s">
        <v>158</v>
      </c>
      <c r="E18" t="s">
        <v>1024</v>
      </c>
      <c r="F18" s="3" t="s">
        <v>1026</v>
      </c>
      <c r="G18" s="4" t="s">
        <v>1025</v>
      </c>
      <c r="H18" t="s">
        <v>134</v>
      </c>
      <c r="I18" t="s">
        <v>134</v>
      </c>
      <c r="J18" s="11" t="s">
        <v>134</v>
      </c>
    </row>
    <row r="19" spans="1:10" x14ac:dyDescent="0.3">
      <c r="A19" t="s">
        <v>171</v>
      </c>
      <c r="B19" t="s">
        <v>172</v>
      </c>
      <c r="C19" t="s">
        <v>134</v>
      </c>
      <c r="D19" t="s">
        <v>134</v>
      </c>
      <c r="E19" t="s">
        <v>173</v>
      </c>
      <c r="F19" s="3" t="s">
        <v>174</v>
      </c>
      <c r="G19" t="s">
        <v>175</v>
      </c>
      <c r="H19" t="s">
        <v>134</v>
      </c>
      <c r="I19" t="s">
        <v>134</v>
      </c>
      <c r="J19" s="11" t="s">
        <v>134</v>
      </c>
    </row>
    <row r="20" spans="1:10" x14ac:dyDescent="0.3">
      <c r="A20" t="s">
        <v>176</v>
      </c>
      <c r="B20" t="s">
        <v>134</v>
      </c>
      <c r="C20" t="s">
        <v>134</v>
      </c>
      <c r="D20" t="s">
        <v>177</v>
      </c>
      <c r="E20" t="s">
        <v>178</v>
      </c>
      <c r="F20" s="3" t="s">
        <v>179</v>
      </c>
      <c r="G20" t="s">
        <v>180</v>
      </c>
      <c r="H20" t="s">
        <v>134</v>
      </c>
      <c r="I20" t="s">
        <v>134</v>
      </c>
      <c r="J20" s="11" t="s">
        <v>134</v>
      </c>
    </row>
    <row r="21" spans="1:10" x14ac:dyDescent="0.3">
      <c r="A21" t="s">
        <v>181</v>
      </c>
      <c r="B21" t="s">
        <v>134</v>
      </c>
      <c r="C21" t="s">
        <v>134</v>
      </c>
      <c r="D21" t="s">
        <v>134</v>
      </c>
      <c r="E21" t="s">
        <v>182</v>
      </c>
      <c r="F21" s="3" t="s">
        <v>183</v>
      </c>
      <c r="G21" t="s">
        <v>184</v>
      </c>
      <c r="H21" t="s">
        <v>134</v>
      </c>
      <c r="I21" t="s">
        <v>134</v>
      </c>
      <c r="J21" s="11" t="s">
        <v>134</v>
      </c>
    </row>
    <row r="22" spans="1:10" x14ac:dyDescent="0.3">
      <c r="A22" t="s">
        <v>908</v>
      </c>
      <c r="B22" t="s">
        <v>134</v>
      </c>
      <c r="C22" t="s">
        <v>134</v>
      </c>
      <c r="D22" t="s">
        <v>158</v>
      </c>
      <c r="E22" t="s">
        <v>910</v>
      </c>
      <c r="F22" s="3" t="s">
        <v>911</v>
      </c>
      <c r="G22" t="s">
        <v>909</v>
      </c>
      <c r="H22" t="s">
        <v>134</v>
      </c>
      <c r="I22" t="s">
        <v>134</v>
      </c>
      <c r="J22" s="11" t="s">
        <v>134</v>
      </c>
    </row>
    <row r="23" spans="1:10" x14ac:dyDescent="0.3">
      <c r="A23" t="s">
        <v>185</v>
      </c>
      <c r="B23" t="s">
        <v>134</v>
      </c>
      <c r="C23" t="s">
        <v>134</v>
      </c>
      <c r="D23" t="s">
        <v>158</v>
      </c>
      <c r="E23" t="s">
        <v>186</v>
      </c>
      <c r="F23" s="3" t="s">
        <v>187</v>
      </c>
      <c r="G23" t="s">
        <v>188</v>
      </c>
      <c r="H23" t="s">
        <v>134</v>
      </c>
      <c r="I23" t="s">
        <v>134</v>
      </c>
      <c r="J23" s="11" t="s">
        <v>134</v>
      </c>
    </row>
    <row r="24" spans="1:10" x14ac:dyDescent="0.3">
      <c r="A24" t="s">
        <v>864</v>
      </c>
      <c r="B24" t="s">
        <v>134</v>
      </c>
      <c r="C24" t="s">
        <v>134</v>
      </c>
      <c r="D24" t="s">
        <v>158</v>
      </c>
      <c r="E24" t="s">
        <v>861</v>
      </c>
      <c r="F24" s="3" t="s">
        <v>862</v>
      </c>
      <c r="G24" t="s">
        <v>863</v>
      </c>
      <c r="H24" t="s">
        <v>134</v>
      </c>
      <c r="I24" t="s">
        <v>134</v>
      </c>
      <c r="J24" s="11" t="s">
        <v>134</v>
      </c>
    </row>
    <row r="25" spans="1:10" x14ac:dyDescent="0.3">
      <c r="A25" t="s">
        <v>189</v>
      </c>
      <c r="B25" t="s">
        <v>134</v>
      </c>
      <c r="C25" t="s">
        <v>134</v>
      </c>
      <c r="D25" t="s">
        <v>158</v>
      </c>
      <c r="E25" t="s">
        <v>190</v>
      </c>
      <c r="F25" s="3" t="s">
        <v>191</v>
      </c>
      <c r="G25" t="s">
        <v>192</v>
      </c>
      <c r="H25" t="s">
        <v>134</v>
      </c>
      <c r="I25" t="s">
        <v>134</v>
      </c>
      <c r="J25" s="11" t="s">
        <v>134</v>
      </c>
    </row>
    <row r="26" spans="1:10" x14ac:dyDescent="0.3">
      <c r="A26" t="s">
        <v>193</v>
      </c>
      <c r="B26" t="s">
        <v>194</v>
      </c>
      <c r="C26" s="4" t="s">
        <v>195</v>
      </c>
      <c r="D26" t="s">
        <v>134</v>
      </c>
      <c r="E26" t="s">
        <v>196</v>
      </c>
      <c r="F26" s="3">
        <v>709922031</v>
      </c>
      <c r="G26" s="4" t="s">
        <v>197</v>
      </c>
      <c r="H26" t="s">
        <v>134</v>
      </c>
      <c r="I26" t="s">
        <v>134</v>
      </c>
      <c r="J26" s="11" t="s">
        <v>134</v>
      </c>
    </row>
    <row r="27" spans="1:10" x14ac:dyDescent="0.3">
      <c r="A27" t="s">
        <v>198</v>
      </c>
      <c r="B27" t="s">
        <v>199</v>
      </c>
      <c r="C27" t="s">
        <v>200</v>
      </c>
      <c r="D27" t="s">
        <v>134</v>
      </c>
      <c r="E27" t="s">
        <v>201</v>
      </c>
      <c r="F27" s="3" t="s">
        <v>202</v>
      </c>
      <c r="G27" t="s">
        <v>200</v>
      </c>
      <c r="H27" t="s">
        <v>134</v>
      </c>
      <c r="I27" t="s">
        <v>134</v>
      </c>
      <c r="J27" s="11" t="s">
        <v>134</v>
      </c>
    </row>
    <row r="28" spans="1:10" x14ac:dyDescent="0.3">
      <c r="A28" t="s">
        <v>203</v>
      </c>
      <c r="B28" t="s">
        <v>134</v>
      </c>
      <c r="C28" t="s">
        <v>204</v>
      </c>
      <c r="D28" t="s">
        <v>134</v>
      </c>
      <c r="E28" t="s">
        <v>205</v>
      </c>
      <c r="F28" s="3" t="s">
        <v>134</v>
      </c>
      <c r="G28" t="s">
        <v>204</v>
      </c>
      <c r="H28" t="s">
        <v>134</v>
      </c>
      <c r="I28" t="s">
        <v>134</v>
      </c>
      <c r="J28" s="11" t="s">
        <v>134</v>
      </c>
    </row>
    <row r="29" spans="1:10" x14ac:dyDescent="0.3">
      <c r="A29" t="s">
        <v>206</v>
      </c>
      <c r="B29" t="s">
        <v>134</v>
      </c>
      <c r="C29" t="s">
        <v>207</v>
      </c>
      <c r="D29" t="s">
        <v>134</v>
      </c>
      <c r="E29" t="s">
        <v>208</v>
      </c>
      <c r="F29" s="3" t="s">
        <v>209</v>
      </c>
      <c r="G29" t="s">
        <v>210</v>
      </c>
      <c r="H29" t="s">
        <v>134</v>
      </c>
      <c r="I29" t="s">
        <v>134</v>
      </c>
      <c r="J29" s="11" t="s">
        <v>134</v>
      </c>
    </row>
    <row r="30" spans="1:10" x14ac:dyDescent="0.3">
      <c r="A30" t="s">
        <v>211</v>
      </c>
      <c r="B30" t="s">
        <v>134</v>
      </c>
      <c r="C30" t="s">
        <v>134</v>
      </c>
      <c r="D30" t="s">
        <v>134</v>
      </c>
      <c r="E30" t="s">
        <v>212</v>
      </c>
      <c r="F30" s="3" t="s">
        <v>134</v>
      </c>
      <c r="G30" t="s">
        <v>134</v>
      </c>
      <c r="H30" t="s">
        <v>134</v>
      </c>
      <c r="I30" t="s">
        <v>134</v>
      </c>
      <c r="J30" s="11" t="s">
        <v>134</v>
      </c>
    </row>
    <row r="31" spans="1:10" x14ac:dyDescent="0.3">
      <c r="A31" t="s">
        <v>28</v>
      </c>
      <c r="B31" t="s">
        <v>134</v>
      </c>
      <c r="C31" t="s">
        <v>134</v>
      </c>
      <c r="D31" t="s">
        <v>134</v>
      </c>
      <c r="E31" t="s">
        <v>134</v>
      </c>
      <c r="F31" s="3" t="s">
        <v>134</v>
      </c>
      <c r="G31" t="s">
        <v>134</v>
      </c>
      <c r="H31" t="s">
        <v>134</v>
      </c>
      <c r="I31" t="s">
        <v>134</v>
      </c>
      <c r="J31" s="11" t="s">
        <v>134</v>
      </c>
    </row>
    <row r="32" spans="1:10" x14ac:dyDescent="0.3">
      <c r="A32" t="s">
        <v>213</v>
      </c>
      <c r="B32" t="s">
        <v>969</v>
      </c>
      <c r="C32" t="s">
        <v>134</v>
      </c>
      <c r="D32" t="s">
        <v>214</v>
      </c>
      <c r="E32" t="s">
        <v>215</v>
      </c>
      <c r="F32" s="3" t="s">
        <v>216</v>
      </c>
      <c r="G32" t="s">
        <v>217</v>
      </c>
      <c r="H32" t="s">
        <v>134</v>
      </c>
      <c r="I32" t="s">
        <v>134</v>
      </c>
      <c r="J32" s="11" t="s">
        <v>134</v>
      </c>
    </row>
    <row r="33" spans="1:10" x14ac:dyDescent="0.3">
      <c r="A33" t="s">
        <v>218</v>
      </c>
      <c r="B33" t="s">
        <v>134</v>
      </c>
      <c r="C33" t="s">
        <v>134</v>
      </c>
      <c r="D33" t="s">
        <v>134</v>
      </c>
      <c r="E33" t="s">
        <v>134</v>
      </c>
      <c r="F33" s="3" t="s">
        <v>134</v>
      </c>
      <c r="G33" t="s">
        <v>134</v>
      </c>
      <c r="H33" t="s">
        <v>134</v>
      </c>
      <c r="I33" t="s">
        <v>134</v>
      </c>
      <c r="J33" s="11" t="s">
        <v>134</v>
      </c>
    </row>
    <row r="34" spans="1:10" x14ac:dyDescent="0.3">
      <c r="A34" t="s">
        <v>219</v>
      </c>
      <c r="B34" t="s">
        <v>134</v>
      </c>
      <c r="C34" t="s">
        <v>220</v>
      </c>
      <c r="D34" t="s">
        <v>134</v>
      </c>
      <c r="E34" t="s">
        <v>221</v>
      </c>
      <c r="F34" s="3" t="s">
        <v>134</v>
      </c>
      <c r="G34" t="s">
        <v>134</v>
      </c>
      <c r="H34" t="s">
        <v>134</v>
      </c>
      <c r="I34" t="s">
        <v>134</v>
      </c>
      <c r="J34" s="11" t="s">
        <v>134</v>
      </c>
    </row>
    <row r="35" spans="1:10" x14ac:dyDescent="0.3">
      <c r="A35" t="s">
        <v>222</v>
      </c>
      <c r="B35" t="s">
        <v>223</v>
      </c>
      <c r="C35" t="s">
        <v>134</v>
      </c>
      <c r="D35" t="s">
        <v>224</v>
      </c>
      <c r="E35" t="s">
        <v>225</v>
      </c>
      <c r="F35" s="3" t="s">
        <v>226</v>
      </c>
      <c r="G35" t="s">
        <v>227</v>
      </c>
      <c r="H35" t="s">
        <v>228</v>
      </c>
      <c r="I35" t="s">
        <v>134</v>
      </c>
      <c r="J35" s="11" t="s">
        <v>134</v>
      </c>
    </row>
    <row r="36" spans="1:10" x14ac:dyDescent="0.3">
      <c r="A36" t="s">
        <v>229</v>
      </c>
      <c r="B36" t="s">
        <v>134</v>
      </c>
      <c r="C36" t="s">
        <v>134</v>
      </c>
      <c r="D36" t="s">
        <v>134</v>
      </c>
      <c r="E36" t="s">
        <v>134</v>
      </c>
      <c r="F36" s="3" t="s">
        <v>134</v>
      </c>
      <c r="G36" t="s">
        <v>134</v>
      </c>
      <c r="H36" t="s">
        <v>134</v>
      </c>
      <c r="I36" t="s">
        <v>134</v>
      </c>
      <c r="J36" s="11" t="s">
        <v>134</v>
      </c>
    </row>
    <row r="37" spans="1:10" x14ac:dyDescent="0.3">
      <c r="A37" t="s">
        <v>230</v>
      </c>
      <c r="B37" t="s">
        <v>970</v>
      </c>
      <c r="C37" t="s">
        <v>971</v>
      </c>
      <c r="D37" t="s">
        <v>972</v>
      </c>
      <c r="E37" t="s">
        <v>231</v>
      </c>
      <c r="F37" s="3" t="s">
        <v>232</v>
      </c>
      <c r="G37" t="s">
        <v>233</v>
      </c>
      <c r="H37" t="s">
        <v>134</v>
      </c>
      <c r="I37" t="s">
        <v>134</v>
      </c>
      <c r="J37" s="11" t="s">
        <v>134</v>
      </c>
    </row>
    <row r="38" spans="1:10" x14ac:dyDescent="0.3">
      <c r="A38" t="s">
        <v>234</v>
      </c>
      <c r="B38" t="s">
        <v>970</v>
      </c>
      <c r="C38" t="s">
        <v>971</v>
      </c>
      <c r="D38" t="s">
        <v>972</v>
      </c>
      <c r="E38" t="s">
        <v>235</v>
      </c>
      <c r="F38" s="3" t="s">
        <v>236</v>
      </c>
      <c r="G38" t="s">
        <v>237</v>
      </c>
      <c r="H38" t="s">
        <v>134</v>
      </c>
      <c r="I38" t="s">
        <v>134</v>
      </c>
      <c r="J38" s="11" t="s">
        <v>134</v>
      </c>
    </row>
    <row r="39" spans="1:10" x14ac:dyDescent="0.3">
      <c r="A39" t="s">
        <v>238</v>
      </c>
      <c r="B39" t="s">
        <v>239</v>
      </c>
      <c r="C39" t="s">
        <v>134</v>
      </c>
      <c r="D39" t="s">
        <v>134</v>
      </c>
      <c r="E39" t="s">
        <v>134</v>
      </c>
      <c r="F39" s="3" t="s">
        <v>134</v>
      </c>
      <c r="G39" t="s">
        <v>134</v>
      </c>
      <c r="H39" t="s">
        <v>134</v>
      </c>
      <c r="I39" t="s">
        <v>134</v>
      </c>
      <c r="J39" s="11" t="s">
        <v>134</v>
      </c>
    </row>
    <row r="40" spans="1:10" x14ac:dyDescent="0.3">
      <c r="A40" t="s">
        <v>240</v>
      </c>
      <c r="B40" t="s">
        <v>241</v>
      </c>
      <c r="C40" t="s">
        <v>242</v>
      </c>
      <c r="D40" t="s">
        <v>134</v>
      </c>
      <c r="E40" t="s">
        <v>243</v>
      </c>
      <c r="F40" s="3" t="s">
        <v>134</v>
      </c>
      <c r="G40" t="s">
        <v>244</v>
      </c>
      <c r="H40" t="s">
        <v>134</v>
      </c>
      <c r="I40" t="s">
        <v>134</v>
      </c>
      <c r="J40" s="11" t="s">
        <v>134</v>
      </c>
    </row>
    <row r="41" spans="1:10" x14ac:dyDescent="0.3">
      <c r="A41" t="s">
        <v>245</v>
      </c>
      <c r="B41" t="s">
        <v>134</v>
      </c>
      <c r="C41" t="s">
        <v>134</v>
      </c>
      <c r="D41" t="s">
        <v>134</v>
      </c>
      <c r="E41" t="s">
        <v>134</v>
      </c>
      <c r="F41" s="3" t="s">
        <v>134</v>
      </c>
      <c r="G41" t="s">
        <v>134</v>
      </c>
      <c r="H41" t="s">
        <v>134</v>
      </c>
      <c r="I41" t="s">
        <v>134</v>
      </c>
      <c r="J41" s="11" t="s">
        <v>134</v>
      </c>
    </row>
    <row r="42" spans="1:10" x14ac:dyDescent="0.3">
      <c r="A42" t="s">
        <v>888</v>
      </c>
      <c r="B42" t="s">
        <v>223</v>
      </c>
      <c r="C42" t="s">
        <v>134</v>
      </c>
      <c r="D42" t="s">
        <v>892</v>
      </c>
      <c r="E42" t="s">
        <v>889</v>
      </c>
      <c r="F42" s="3" t="s">
        <v>890</v>
      </c>
      <c r="G42" s="4" t="s">
        <v>891</v>
      </c>
      <c r="H42" t="s">
        <v>134</v>
      </c>
      <c r="I42" t="s">
        <v>134</v>
      </c>
      <c r="J42" s="11" t="s">
        <v>134</v>
      </c>
    </row>
    <row r="43" spans="1:10" x14ac:dyDescent="0.3">
      <c r="A43" t="s">
        <v>246</v>
      </c>
      <c r="B43" t="s">
        <v>247</v>
      </c>
      <c r="C43" t="s">
        <v>134</v>
      </c>
      <c r="D43" t="s">
        <v>248</v>
      </c>
      <c r="E43" t="s">
        <v>249</v>
      </c>
      <c r="F43" s="3" t="s">
        <v>250</v>
      </c>
      <c r="G43" t="s">
        <v>251</v>
      </c>
      <c r="H43" t="s">
        <v>252</v>
      </c>
      <c r="I43" t="s">
        <v>134</v>
      </c>
      <c r="J43" s="11" t="s">
        <v>134</v>
      </c>
    </row>
    <row r="44" spans="1:10" x14ac:dyDescent="0.3">
      <c r="A44" t="s">
        <v>253</v>
      </c>
      <c r="B44" t="s">
        <v>254</v>
      </c>
      <c r="C44" t="s">
        <v>134</v>
      </c>
      <c r="D44" t="s">
        <v>255</v>
      </c>
      <c r="E44" t="s">
        <v>256</v>
      </c>
      <c r="F44" s="3" t="s">
        <v>134</v>
      </c>
      <c r="G44" t="s">
        <v>257</v>
      </c>
      <c r="H44" t="s">
        <v>134</v>
      </c>
      <c r="I44" t="s">
        <v>134</v>
      </c>
      <c r="J44" s="11" t="s">
        <v>134</v>
      </c>
    </row>
    <row r="45" spans="1:10" x14ac:dyDescent="0.3">
      <c r="A45" t="s">
        <v>258</v>
      </c>
      <c r="B45" t="s">
        <v>259</v>
      </c>
      <c r="C45" t="s">
        <v>134</v>
      </c>
      <c r="D45" t="s">
        <v>260</v>
      </c>
      <c r="E45" t="s">
        <v>261</v>
      </c>
      <c r="F45" s="3" t="s">
        <v>262</v>
      </c>
      <c r="G45" t="s">
        <v>263</v>
      </c>
      <c r="H45" t="s">
        <v>228</v>
      </c>
      <c r="I45" t="s">
        <v>134</v>
      </c>
      <c r="J45" s="11" t="s">
        <v>134</v>
      </c>
    </row>
    <row r="46" spans="1:10" x14ac:dyDescent="0.3">
      <c r="A46" t="s">
        <v>945</v>
      </c>
      <c r="B46" t="s">
        <v>134</v>
      </c>
      <c r="C46" t="s">
        <v>134</v>
      </c>
      <c r="D46" t="s">
        <v>134</v>
      </c>
      <c r="E46" t="s">
        <v>134</v>
      </c>
      <c r="F46" s="3" t="s">
        <v>134</v>
      </c>
      <c r="G46" t="s">
        <v>134</v>
      </c>
      <c r="H46" t="s">
        <v>134</v>
      </c>
      <c r="I46" t="s">
        <v>134</v>
      </c>
      <c r="J46" s="11" t="s">
        <v>134</v>
      </c>
    </row>
    <row r="47" spans="1:10" x14ac:dyDescent="0.3">
      <c r="A47" t="s">
        <v>264</v>
      </c>
      <c r="B47" t="s">
        <v>265</v>
      </c>
      <c r="C47" t="s">
        <v>134</v>
      </c>
      <c r="D47" t="s">
        <v>266</v>
      </c>
      <c r="E47" t="s">
        <v>267</v>
      </c>
      <c r="F47" s="3" t="s">
        <v>268</v>
      </c>
      <c r="G47" t="s">
        <v>269</v>
      </c>
      <c r="H47" t="s">
        <v>134</v>
      </c>
      <c r="I47" t="s">
        <v>134</v>
      </c>
      <c r="J47" s="11" t="s">
        <v>134</v>
      </c>
    </row>
    <row r="48" spans="1:10" x14ac:dyDescent="0.3">
      <c r="A48" t="s">
        <v>270</v>
      </c>
      <c r="B48" t="s">
        <v>134</v>
      </c>
      <c r="C48" t="s">
        <v>271</v>
      </c>
      <c r="D48" t="s">
        <v>134</v>
      </c>
      <c r="E48" t="s">
        <v>272</v>
      </c>
      <c r="F48" s="3" t="s">
        <v>134</v>
      </c>
      <c r="G48" t="s">
        <v>273</v>
      </c>
      <c r="H48" t="s">
        <v>134</v>
      </c>
      <c r="I48" t="s">
        <v>134</v>
      </c>
      <c r="J48" s="11" t="s">
        <v>134</v>
      </c>
    </row>
    <row r="49" spans="1:10" x14ac:dyDescent="0.3">
      <c r="A49" t="s">
        <v>274</v>
      </c>
      <c r="B49" t="s">
        <v>275</v>
      </c>
      <c r="C49" t="s">
        <v>271</v>
      </c>
      <c r="D49" t="s">
        <v>134</v>
      </c>
      <c r="E49" t="s">
        <v>276</v>
      </c>
      <c r="F49" s="3" t="s">
        <v>134</v>
      </c>
      <c r="G49" t="s">
        <v>277</v>
      </c>
      <c r="H49" t="s">
        <v>134</v>
      </c>
      <c r="I49" t="s">
        <v>134</v>
      </c>
      <c r="J49" s="11" t="s">
        <v>134</v>
      </c>
    </row>
    <row r="50" spans="1:10" x14ac:dyDescent="0.3">
      <c r="A50" t="s">
        <v>278</v>
      </c>
      <c r="B50" t="s">
        <v>134</v>
      </c>
      <c r="C50" t="s">
        <v>134</v>
      </c>
      <c r="D50" t="s">
        <v>134</v>
      </c>
      <c r="E50" t="s">
        <v>134</v>
      </c>
      <c r="F50" s="3" t="s">
        <v>134</v>
      </c>
      <c r="G50" t="s">
        <v>134</v>
      </c>
      <c r="H50" t="s">
        <v>134</v>
      </c>
      <c r="I50" t="s">
        <v>134</v>
      </c>
      <c r="J50" s="11" t="s">
        <v>134</v>
      </c>
    </row>
    <row r="51" spans="1:10" x14ac:dyDescent="0.3">
      <c r="A51" t="s">
        <v>857</v>
      </c>
      <c r="B51" t="s">
        <v>922</v>
      </c>
      <c r="C51" s="4" t="s">
        <v>924</v>
      </c>
      <c r="D51" t="s">
        <v>134</v>
      </c>
      <c r="E51" t="s">
        <v>858</v>
      </c>
      <c r="F51" s="3" t="s">
        <v>859</v>
      </c>
      <c r="G51" t="s">
        <v>860</v>
      </c>
      <c r="H51" t="s">
        <v>923</v>
      </c>
      <c r="I51" t="s">
        <v>134</v>
      </c>
      <c r="J51" s="11" t="s">
        <v>134</v>
      </c>
    </row>
    <row r="52" spans="1:10" x14ac:dyDescent="0.3">
      <c r="A52" t="s">
        <v>279</v>
      </c>
      <c r="B52" t="s">
        <v>134</v>
      </c>
      <c r="C52" t="s">
        <v>134</v>
      </c>
      <c r="D52" t="s">
        <v>134</v>
      </c>
      <c r="E52" t="s">
        <v>134</v>
      </c>
      <c r="F52" s="3" t="s">
        <v>134</v>
      </c>
      <c r="G52" t="s">
        <v>134</v>
      </c>
      <c r="H52" t="s">
        <v>134</v>
      </c>
      <c r="I52" t="s">
        <v>134</v>
      </c>
      <c r="J52" s="11" t="s">
        <v>134</v>
      </c>
    </row>
    <row r="53" spans="1:10" x14ac:dyDescent="0.3">
      <c r="A53" t="s">
        <v>280</v>
      </c>
      <c r="B53" t="s">
        <v>134</v>
      </c>
      <c r="C53" s="4" t="s">
        <v>281</v>
      </c>
      <c r="D53" t="s">
        <v>282</v>
      </c>
      <c r="E53" t="s">
        <v>282</v>
      </c>
      <c r="F53" s="3" t="s">
        <v>283</v>
      </c>
      <c r="G53" t="s">
        <v>284</v>
      </c>
      <c r="H53" t="s">
        <v>134</v>
      </c>
      <c r="I53" t="s">
        <v>134</v>
      </c>
      <c r="J53" s="11" t="s">
        <v>134</v>
      </c>
    </row>
    <row r="54" spans="1:10" x14ac:dyDescent="0.3">
      <c r="A54" t="s">
        <v>285</v>
      </c>
      <c r="B54" t="s">
        <v>134</v>
      </c>
      <c r="C54" t="s">
        <v>134</v>
      </c>
      <c r="D54" t="s">
        <v>134</v>
      </c>
      <c r="E54" t="s">
        <v>286</v>
      </c>
      <c r="F54" s="3" t="s">
        <v>287</v>
      </c>
      <c r="G54" t="s">
        <v>288</v>
      </c>
      <c r="H54" t="s">
        <v>134</v>
      </c>
      <c r="I54" t="s">
        <v>134</v>
      </c>
      <c r="J54" s="11" t="s">
        <v>134</v>
      </c>
    </row>
    <row r="55" spans="1:10" x14ac:dyDescent="0.3">
      <c r="A55" t="s">
        <v>1010</v>
      </c>
      <c r="B55" t="s">
        <v>290</v>
      </c>
      <c r="C55" t="s">
        <v>291</v>
      </c>
      <c r="D55">
        <v>9060</v>
      </c>
      <c r="E55" t="s">
        <v>1011</v>
      </c>
      <c r="F55" s="3" t="s">
        <v>134</v>
      </c>
      <c r="G55" t="s">
        <v>1012</v>
      </c>
      <c r="H55" t="s">
        <v>295</v>
      </c>
      <c r="I55" t="s">
        <v>134</v>
      </c>
      <c r="J55" s="11" t="s">
        <v>134</v>
      </c>
    </row>
    <row r="56" spans="1:10" x14ac:dyDescent="0.3">
      <c r="A56" s="5" t="s">
        <v>289</v>
      </c>
      <c r="B56" s="5" t="s">
        <v>290</v>
      </c>
      <c r="C56" s="6" t="s">
        <v>291</v>
      </c>
      <c r="D56" s="5">
        <v>9060</v>
      </c>
      <c r="E56" s="5" t="s">
        <v>292</v>
      </c>
      <c r="F56" s="7" t="s">
        <v>293</v>
      </c>
      <c r="G56" s="5" t="s">
        <v>294</v>
      </c>
      <c r="H56" s="5" t="s">
        <v>295</v>
      </c>
      <c r="I56" t="s">
        <v>134</v>
      </c>
      <c r="J56" s="11" t="s">
        <v>134</v>
      </c>
    </row>
    <row r="57" spans="1:10" x14ac:dyDescent="0.3">
      <c r="A57" t="s">
        <v>296</v>
      </c>
      <c r="B57" t="s">
        <v>290</v>
      </c>
      <c r="C57" t="s">
        <v>291</v>
      </c>
      <c r="D57">
        <v>9060</v>
      </c>
      <c r="E57" t="s">
        <v>231</v>
      </c>
      <c r="F57" s="3" t="s">
        <v>134</v>
      </c>
      <c r="G57" t="s">
        <v>297</v>
      </c>
      <c r="H57" t="s">
        <v>295</v>
      </c>
      <c r="I57" t="s">
        <v>134</v>
      </c>
      <c r="J57" s="11" t="s">
        <v>134</v>
      </c>
    </row>
    <row r="58" spans="1:10" x14ac:dyDescent="0.3">
      <c r="A58" t="s">
        <v>298</v>
      </c>
      <c r="B58" t="s">
        <v>299</v>
      </c>
      <c r="C58" t="s">
        <v>134</v>
      </c>
      <c r="D58" t="s">
        <v>134</v>
      </c>
      <c r="E58" t="s">
        <v>300</v>
      </c>
      <c r="F58" s="3" t="s">
        <v>301</v>
      </c>
      <c r="G58" t="s">
        <v>302</v>
      </c>
      <c r="H58" t="s">
        <v>134</v>
      </c>
      <c r="I58" t="s">
        <v>134</v>
      </c>
      <c r="J58" s="11" t="s">
        <v>134</v>
      </c>
    </row>
    <row r="59" spans="1:10" x14ac:dyDescent="0.3">
      <c r="A59" t="s">
        <v>303</v>
      </c>
      <c r="B59" t="s">
        <v>134</v>
      </c>
      <c r="C59" t="s">
        <v>304</v>
      </c>
      <c r="D59" t="s">
        <v>134</v>
      </c>
      <c r="E59" t="s">
        <v>305</v>
      </c>
      <c r="F59" s="3" t="s">
        <v>134</v>
      </c>
      <c r="G59" t="s">
        <v>306</v>
      </c>
      <c r="H59" t="s">
        <v>134</v>
      </c>
      <c r="I59" t="s">
        <v>134</v>
      </c>
      <c r="J59" s="11" t="s">
        <v>134</v>
      </c>
    </row>
    <row r="60" spans="1:10" x14ac:dyDescent="0.3">
      <c r="A60" t="s">
        <v>307</v>
      </c>
      <c r="B60" t="s">
        <v>958</v>
      </c>
      <c r="C60" t="s">
        <v>304</v>
      </c>
      <c r="D60" t="s">
        <v>134</v>
      </c>
      <c r="E60" t="s">
        <v>308</v>
      </c>
      <c r="F60" s="3" t="s">
        <v>309</v>
      </c>
      <c r="G60" t="s">
        <v>310</v>
      </c>
      <c r="H60" t="s">
        <v>959</v>
      </c>
      <c r="I60" t="s">
        <v>134</v>
      </c>
      <c r="J60" s="11" t="s">
        <v>134</v>
      </c>
    </row>
    <row r="61" spans="1:10" x14ac:dyDescent="0.3">
      <c r="A61" t="s">
        <v>311</v>
      </c>
      <c r="B61" t="s">
        <v>134</v>
      </c>
      <c r="C61" t="s">
        <v>314</v>
      </c>
      <c r="D61" t="s">
        <v>134</v>
      </c>
      <c r="E61" t="s">
        <v>312</v>
      </c>
      <c r="F61" s="3" t="s">
        <v>313</v>
      </c>
      <c r="G61" t="s">
        <v>314</v>
      </c>
      <c r="H61" t="s">
        <v>134</v>
      </c>
      <c r="I61" t="s">
        <v>134</v>
      </c>
      <c r="J61" s="11" t="s">
        <v>134</v>
      </c>
    </row>
    <row r="62" spans="1:10" x14ac:dyDescent="0.3">
      <c r="A62" t="s">
        <v>315</v>
      </c>
      <c r="B62" t="s">
        <v>316</v>
      </c>
      <c r="C62" t="s">
        <v>317</v>
      </c>
      <c r="D62" t="s">
        <v>318</v>
      </c>
      <c r="E62" t="s">
        <v>319</v>
      </c>
      <c r="F62" s="3" t="s">
        <v>320</v>
      </c>
      <c r="G62" t="s">
        <v>321</v>
      </c>
      <c r="H62" t="s">
        <v>134</v>
      </c>
      <c r="I62" t="s">
        <v>134</v>
      </c>
      <c r="J62" s="11" t="s">
        <v>134</v>
      </c>
    </row>
    <row r="63" spans="1:10" x14ac:dyDescent="0.3">
      <c r="A63" t="s">
        <v>962</v>
      </c>
      <c r="B63" s="53" t="s">
        <v>134</v>
      </c>
      <c r="C63" s="4" t="s">
        <v>1021</v>
      </c>
      <c r="D63" t="s">
        <v>134</v>
      </c>
      <c r="E63" t="s">
        <v>205</v>
      </c>
      <c r="F63" s="3" t="s">
        <v>134</v>
      </c>
      <c r="G63" s="4" t="s">
        <v>410</v>
      </c>
      <c r="H63" t="s">
        <v>1022</v>
      </c>
      <c r="I63" t="s">
        <v>134</v>
      </c>
      <c r="J63" s="11" t="s">
        <v>134</v>
      </c>
    </row>
    <row r="64" spans="1:10" x14ac:dyDescent="0.3">
      <c r="A64" t="s">
        <v>322</v>
      </c>
      <c r="B64" t="s">
        <v>323</v>
      </c>
      <c r="C64" t="s">
        <v>134</v>
      </c>
      <c r="D64" t="s">
        <v>324</v>
      </c>
      <c r="E64" t="s">
        <v>325</v>
      </c>
      <c r="F64" s="3" t="s">
        <v>134</v>
      </c>
      <c r="G64" t="s">
        <v>134</v>
      </c>
      <c r="H64" t="s">
        <v>326</v>
      </c>
      <c r="I64" t="s">
        <v>134</v>
      </c>
      <c r="J64" s="11" t="s">
        <v>134</v>
      </c>
    </row>
    <row r="65" spans="1:10" x14ac:dyDescent="0.3">
      <c r="A65" t="s">
        <v>327</v>
      </c>
      <c r="B65" t="s">
        <v>134</v>
      </c>
      <c r="C65" t="s">
        <v>134</v>
      </c>
      <c r="D65" t="s">
        <v>134</v>
      </c>
      <c r="E65" t="s">
        <v>134</v>
      </c>
      <c r="F65" s="3" t="s">
        <v>134</v>
      </c>
      <c r="G65" t="s">
        <v>134</v>
      </c>
      <c r="H65" t="s">
        <v>134</v>
      </c>
      <c r="I65" t="s">
        <v>134</v>
      </c>
      <c r="J65" s="11" t="s">
        <v>134</v>
      </c>
    </row>
    <row r="66" spans="1:10" x14ac:dyDescent="0.3">
      <c r="A66" t="s">
        <v>328</v>
      </c>
      <c r="B66" t="s">
        <v>329</v>
      </c>
      <c r="C66" s="4" t="s">
        <v>330</v>
      </c>
      <c r="D66" t="s">
        <v>134</v>
      </c>
      <c r="E66" t="s">
        <v>331</v>
      </c>
      <c r="F66" s="3" t="s">
        <v>134</v>
      </c>
      <c r="G66" t="s">
        <v>330</v>
      </c>
      <c r="H66" t="s">
        <v>134</v>
      </c>
      <c r="I66" t="s">
        <v>134</v>
      </c>
      <c r="J66" s="11" t="s">
        <v>134</v>
      </c>
    </row>
    <row r="67" spans="1:10" x14ac:dyDescent="0.3">
      <c r="A67" t="s">
        <v>332</v>
      </c>
      <c r="B67" t="s">
        <v>333</v>
      </c>
      <c r="C67" t="s">
        <v>134</v>
      </c>
      <c r="D67" t="s">
        <v>334</v>
      </c>
      <c r="E67" t="s">
        <v>335</v>
      </c>
      <c r="F67" s="3" t="s">
        <v>336</v>
      </c>
      <c r="G67" t="s">
        <v>134</v>
      </c>
      <c r="H67" t="s">
        <v>134</v>
      </c>
      <c r="I67" t="s">
        <v>134</v>
      </c>
      <c r="J67" s="11" t="s">
        <v>134</v>
      </c>
    </row>
    <row r="68" spans="1:10" x14ac:dyDescent="0.3">
      <c r="A68" t="s">
        <v>337</v>
      </c>
      <c r="B68" t="s">
        <v>338</v>
      </c>
      <c r="C68" t="s">
        <v>134</v>
      </c>
      <c r="D68" t="s">
        <v>339</v>
      </c>
      <c r="E68" t="s">
        <v>340</v>
      </c>
      <c r="F68" s="3" t="s">
        <v>341</v>
      </c>
      <c r="G68" t="s">
        <v>342</v>
      </c>
      <c r="H68" t="s">
        <v>134</v>
      </c>
      <c r="I68" t="s">
        <v>134</v>
      </c>
      <c r="J68" s="11" t="s">
        <v>134</v>
      </c>
    </row>
    <row r="69" spans="1:10" x14ac:dyDescent="0.3">
      <c r="A69" t="s">
        <v>343</v>
      </c>
      <c r="B69" t="s">
        <v>338</v>
      </c>
      <c r="C69" t="s">
        <v>134</v>
      </c>
      <c r="D69" t="s">
        <v>339</v>
      </c>
      <c r="E69" t="s">
        <v>344</v>
      </c>
      <c r="F69" s="3" t="s">
        <v>134</v>
      </c>
      <c r="G69" t="s">
        <v>345</v>
      </c>
      <c r="H69" t="s">
        <v>134</v>
      </c>
      <c r="I69" t="s">
        <v>134</v>
      </c>
      <c r="J69" s="11" t="s">
        <v>134</v>
      </c>
    </row>
    <row r="70" spans="1:10" x14ac:dyDescent="0.3">
      <c r="A70" t="s">
        <v>815</v>
      </c>
      <c r="B70" t="s">
        <v>816</v>
      </c>
      <c r="C70" t="s">
        <v>134</v>
      </c>
      <c r="D70" t="s">
        <v>817</v>
      </c>
      <c r="E70" t="s">
        <v>498</v>
      </c>
      <c r="F70" s="3" t="s">
        <v>818</v>
      </c>
      <c r="G70" t="s">
        <v>499</v>
      </c>
      <c r="H70" t="s">
        <v>228</v>
      </c>
      <c r="I70" t="s">
        <v>134</v>
      </c>
      <c r="J70" s="11" t="s">
        <v>134</v>
      </c>
    </row>
    <row r="71" spans="1:10" x14ac:dyDescent="0.3">
      <c r="A71" t="s">
        <v>346</v>
      </c>
      <c r="B71" t="s">
        <v>134</v>
      </c>
      <c r="C71" t="s">
        <v>134</v>
      </c>
      <c r="D71" t="s">
        <v>134</v>
      </c>
      <c r="E71" t="s">
        <v>134</v>
      </c>
      <c r="F71" s="3" t="s">
        <v>134</v>
      </c>
      <c r="G71" t="s">
        <v>134</v>
      </c>
      <c r="H71" t="s">
        <v>134</v>
      </c>
      <c r="I71" t="s">
        <v>134</v>
      </c>
      <c r="J71" s="11" t="s">
        <v>134</v>
      </c>
    </row>
    <row r="72" spans="1:10" x14ac:dyDescent="0.3">
      <c r="A72" t="s">
        <v>347</v>
      </c>
      <c r="B72" t="s">
        <v>348</v>
      </c>
      <c r="C72" t="s">
        <v>349</v>
      </c>
      <c r="D72" t="s">
        <v>134</v>
      </c>
      <c r="E72" t="s">
        <v>350</v>
      </c>
      <c r="F72" s="3" t="s">
        <v>134</v>
      </c>
      <c r="G72" t="s">
        <v>351</v>
      </c>
      <c r="H72" t="s">
        <v>352</v>
      </c>
      <c r="I72" t="s">
        <v>134</v>
      </c>
      <c r="J72" s="11" t="s">
        <v>134</v>
      </c>
    </row>
    <row r="73" spans="1:10" x14ac:dyDescent="0.3">
      <c r="A73" t="s">
        <v>353</v>
      </c>
      <c r="B73" t="s">
        <v>134</v>
      </c>
      <c r="C73" t="s">
        <v>134</v>
      </c>
      <c r="D73" t="s">
        <v>134</v>
      </c>
      <c r="E73" t="s">
        <v>354</v>
      </c>
      <c r="F73" s="3" t="s">
        <v>134</v>
      </c>
      <c r="G73" t="s">
        <v>355</v>
      </c>
      <c r="H73" t="s">
        <v>134</v>
      </c>
      <c r="I73" t="s">
        <v>134</v>
      </c>
      <c r="J73" s="11" t="s">
        <v>134</v>
      </c>
    </row>
    <row r="74" spans="1:10" x14ac:dyDescent="0.3">
      <c r="A74" t="s">
        <v>356</v>
      </c>
      <c r="B74" t="s">
        <v>134</v>
      </c>
      <c r="C74" t="s">
        <v>357</v>
      </c>
      <c r="D74" t="s">
        <v>134</v>
      </c>
      <c r="E74" t="s">
        <v>358</v>
      </c>
      <c r="F74" s="3" t="s">
        <v>359</v>
      </c>
      <c r="G74" t="s">
        <v>360</v>
      </c>
      <c r="H74" t="s">
        <v>134</v>
      </c>
      <c r="I74" t="s">
        <v>134</v>
      </c>
      <c r="J74" s="11" t="s">
        <v>134</v>
      </c>
    </row>
    <row r="75" spans="1:10" x14ac:dyDescent="0.3">
      <c r="A75" t="s">
        <v>361</v>
      </c>
      <c r="B75" t="s">
        <v>134</v>
      </c>
      <c r="C75" t="s">
        <v>362</v>
      </c>
      <c r="D75" t="s">
        <v>134</v>
      </c>
      <c r="E75" t="s">
        <v>363</v>
      </c>
      <c r="F75" s="3" t="s">
        <v>364</v>
      </c>
      <c r="G75" t="s">
        <v>362</v>
      </c>
      <c r="H75" t="s">
        <v>134</v>
      </c>
      <c r="I75" t="s">
        <v>134</v>
      </c>
      <c r="J75" s="11" t="s">
        <v>134</v>
      </c>
    </row>
    <row r="76" spans="1:10" x14ac:dyDescent="0.3">
      <c r="A76" t="s">
        <v>365</v>
      </c>
      <c r="B76" t="s">
        <v>366</v>
      </c>
      <c r="C76" t="s">
        <v>367</v>
      </c>
      <c r="D76" t="s">
        <v>134</v>
      </c>
      <c r="E76" t="s">
        <v>368</v>
      </c>
      <c r="F76" s="3" t="s">
        <v>134</v>
      </c>
      <c r="G76" t="s">
        <v>134</v>
      </c>
      <c r="H76" t="s">
        <v>134</v>
      </c>
      <c r="I76" t="s">
        <v>134</v>
      </c>
      <c r="J76" s="11" t="s">
        <v>134</v>
      </c>
    </row>
    <row r="77" spans="1:10" x14ac:dyDescent="0.3">
      <c r="A77" t="s">
        <v>369</v>
      </c>
      <c r="B77" t="s">
        <v>366</v>
      </c>
      <c r="C77" t="s">
        <v>367</v>
      </c>
      <c r="D77" t="s">
        <v>134</v>
      </c>
      <c r="E77" t="s">
        <v>370</v>
      </c>
      <c r="F77" s="3" t="s">
        <v>371</v>
      </c>
      <c r="G77" t="s">
        <v>372</v>
      </c>
      <c r="H77" t="s">
        <v>134</v>
      </c>
      <c r="I77" t="s">
        <v>134</v>
      </c>
      <c r="J77" s="11" t="s">
        <v>134</v>
      </c>
    </row>
    <row r="78" spans="1:10" x14ac:dyDescent="0.3">
      <c r="A78" t="s">
        <v>373</v>
      </c>
      <c r="B78" t="s">
        <v>134</v>
      </c>
      <c r="C78" t="s">
        <v>374</v>
      </c>
      <c r="D78" t="s">
        <v>134</v>
      </c>
      <c r="E78" t="s">
        <v>375</v>
      </c>
      <c r="F78" s="3" t="s">
        <v>376</v>
      </c>
      <c r="G78" t="s">
        <v>377</v>
      </c>
      <c r="H78" t="s">
        <v>134</v>
      </c>
      <c r="I78" t="s">
        <v>134</v>
      </c>
      <c r="J78" s="11" t="s">
        <v>134</v>
      </c>
    </row>
    <row r="79" spans="1:10" x14ac:dyDescent="0.3">
      <c r="A79" t="s">
        <v>378</v>
      </c>
      <c r="B79" t="s">
        <v>134</v>
      </c>
      <c r="C79" t="s">
        <v>379</v>
      </c>
      <c r="D79" t="s">
        <v>134</v>
      </c>
      <c r="E79" t="s">
        <v>380</v>
      </c>
      <c r="F79" s="3" t="s">
        <v>134</v>
      </c>
      <c r="G79" t="s">
        <v>379</v>
      </c>
      <c r="H79" t="s">
        <v>134</v>
      </c>
      <c r="I79" t="s">
        <v>134</v>
      </c>
      <c r="J79" s="11" t="s">
        <v>134</v>
      </c>
    </row>
    <row r="80" spans="1:10" x14ac:dyDescent="0.3">
      <c r="A80" t="s">
        <v>381</v>
      </c>
      <c r="B80" t="s">
        <v>382</v>
      </c>
      <c r="C80" t="s">
        <v>383</v>
      </c>
      <c r="D80" t="s">
        <v>384</v>
      </c>
      <c r="E80" t="s">
        <v>384</v>
      </c>
      <c r="F80" s="3" t="s">
        <v>385</v>
      </c>
      <c r="G80" t="s">
        <v>386</v>
      </c>
      <c r="H80" t="s">
        <v>134</v>
      </c>
      <c r="I80" t="s">
        <v>134</v>
      </c>
      <c r="J80" s="11" t="s">
        <v>134</v>
      </c>
    </row>
    <row r="81" spans="1:10" x14ac:dyDescent="0.3">
      <c r="A81" t="s">
        <v>387</v>
      </c>
      <c r="B81" t="s">
        <v>134</v>
      </c>
      <c r="C81" t="s">
        <v>388</v>
      </c>
      <c r="D81" t="s">
        <v>389</v>
      </c>
      <c r="E81" t="s">
        <v>389</v>
      </c>
      <c r="F81" s="3" t="s">
        <v>390</v>
      </c>
      <c r="G81" t="s">
        <v>388</v>
      </c>
      <c r="H81" t="s">
        <v>134</v>
      </c>
      <c r="I81" t="s">
        <v>134</v>
      </c>
      <c r="J81" s="11" t="s">
        <v>134</v>
      </c>
    </row>
    <row r="82" spans="1:10" x14ac:dyDescent="0.3">
      <c r="A82" t="s">
        <v>391</v>
      </c>
      <c r="B82" t="s">
        <v>134</v>
      </c>
      <c r="C82" t="s">
        <v>383</v>
      </c>
      <c r="D82" t="s">
        <v>134</v>
      </c>
      <c r="E82" t="s">
        <v>392</v>
      </c>
      <c r="F82" s="3" t="s">
        <v>134</v>
      </c>
      <c r="G82" t="s">
        <v>134</v>
      </c>
      <c r="H82" t="s">
        <v>134</v>
      </c>
      <c r="I82" t="s">
        <v>134</v>
      </c>
      <c r="J82" s="11" t="s">
        <v>134</v>
      </c>
    </row>
    <row r="83" spans="1:10" x14ac:dyDescent="0.3">
      <c r="A83" t="s">
        <v>393</v>
      </c>
      <c r="B83" t="s">
        <v>134</v>
      </c>
      <c r="C83" t="s">
        <v>134</v>
      </c>
      <c r="D83" t="s">
        <v>134</v>
      </c>
      <c r="E83" t="s">
        <v>134</v>
      </c>
      <c r="F83" s="3" t="s">
        <v>134</v>
      </c>
      <c r="G83" t="s">
        <v>134</v>
      </c>
      <c r="H83" t="s">
        <v>134</v>
      </c>
      <c r="I83" t="s">
        <v>134</v>
      </c>
      <c r="J83" s="11" t="s">
        <v>134</v>
      </c>
    </row>
    <row r="84" spans="1:10" x14ac:dyDescent="0.3">
      <c r="A84" t="s">
        <v>394</v>
      </c>
      <c r="B84" t="s">
        <v>134</v>
      </c>
      <c r="C84" t="s">
        <v>134</v>
      </c>
      <c r="D84" t="s">
        <v>134</v>
      </c>
      <c r="E84" t="s">
        <v>134</v>
      </c>
      <c r="F84" s="3" t="s">
        <v>134</v>
      </c>
      <c r="G84" t="s">
        <v>134</v>
      </c>
      <c r="H84" t="s">
        <v>134</v>
      </c>
      <c r="I84" t="s">
        <v>134</v>
      </c>
      <c r="J84" s="11" t="s">
        <v>134</v>
      </c>
    </row>
    <row r="85" spans="1:10" x14ac:dyDescent="0.3">
      <c r="A85" t="s">
        <v>395</v>
      </c>
      <c r="B85" t="s">
        <v>396</v>
      </c>
      <c r="C85" t="s">
        <v>397</v>
      </c>
      <c r="D85" t="s">
        <v>134</v>
      </c>
      <c r="E85" t="s">
        <v>398</v>
      </c>
      <c r="F85" s="3" t="s">
        <v>399</v>
      </c>
      <c r="G85" t="s">
        <v>400</v>
      </c>
      <c r="H85" t="s">
        <v>134</v>
      </c>
      <c r="I85" t="s">
        <v>134</v>
      </c>
      <c r="J85" s="11" t="s">
        <v>134</v>
      </c>
    </row>
    <row r="86" spans="1:10" x14ac:dyDescent="0.3">
      <c r="A86" t="s">
        <v>401</v>
      </c>
      <c r="B86" t="s">
        <v>402</v>
      </c>
      <c r="C86" t="s">
        <v>134</v>
      </c>
      <c r="D86" t="s">
        <v>403</v>
      </c>
      <c r="E86" t="s">
        <v>363</v>
      </c>
      <c r="F86" s="3" t="s">
        <v>364</v>
      </c>
      <c r="G86" t="s">
        <v>362</v>
      </c>
      <c r="H86" t="s">
        <v>134</v>
      </c>
      <c r="I86" t="s">
        <v>134</v>
      </c>
      <c r="J86" s="11" t="s">
        <v>134</v>
      </c>
    </row>
    <row r="87" spans="1:10" x14ac:dyDescent="0.3">
      <c r="A87" t="s">
        <v>404</v>
      </c>
      <c r="B87" t="s">
        <v>134</v>
      </c>
      <c r="C87" t="s">
        <v>405</v>
      </c>
      <c r="D87" t="s">
        <v>134</v>
      </c>
      <c r="E87" t="s">
        <v>406</v>
      </c>
      <c r="F87" s="3" t="s">
        <v>407</v>
      </c>
      <c r="G87" t="s">
        <v>405</v>
      </c>
      <c r="H87" t="s">
        <v>134</v>
      </c>
      <c r="I87" t="s">
        <v>134</v>
      </c>
      <c r="J87" s="11" t="s">
        <v>134</v>
      </c>
    </row>
    <row r="88" spans="1:10" x14ac:dyDescent="0.3">
      <c r="A88" t="s">
        <v>408</v>
      </c>
      <c r="B88" t="s">
        <v>134</v>
      </c>
      <c r="C88" t="s">
        <v>898</v>
      </c>
      <c r="D88" t="s">
        <v>134</v>
      </c>
      <c r="E88" t="s">
        <v>205</v>
      </c>
      <c r="F88" s="3" t="s">
        <v>409</v>
      </c>
      <c r="G88" t="s">
        <v>410</v>
      </c>
      <c r="H88" t="s">
        <v>897</v>
      </c>
      <c r="I88" t="s">
        <v>134</v>
      </c>
      <c r="J88" s="11" t="s">
        <v>134</v>
      </c>
    </row>
    <row r="89" spans="1:10" x14ac:dyDescent="0.3">
      <c r="A89" t="s">
        <v>411</v>
      </c>
      <c r="B89" t="s">
        <v>134</v>
      </c>
      <c r="C89" t="s">
        <v>134</v>
      </c>
      <c r="D89" t="s">
        <v>134</v>
      </c>
      <c r="E89" t="s">
        <v>134</v>
      </c>
      <c r="F89" s="3" t="s">
        <v>134</v>
      </c>
      <c r="G89" t="s">
        <v>134</v>
      </c>
      <c r="H89" t="s">
        <v>134</v>
      </c>
      <c r="I89" t="s">
        <v>134</v>
      </c>
      <c r="J89" s="11" t="s">
        <v>134</v>
      </c>
    </row>
    <row r="90" spans="1:10" x14ac:dyDescent="0.3">
      <c r="A90" t="s">
        <v>412</v>
      </c>
      <c r="B90" t="s">
        <v>413</v>
      </c>
      <c r="C90" t="s">
        <v>134</v>
      </c>
      <c r="D90">
        <v>2502</v>
      </c>
      <c r="E90" t="s">
        <v>414</v>
      </c>
      <c r="F90" s="3" t="s">
        <v>415</v>
      </c>
      <c r="G90" t="s">
        <v>416</v>
      </c>
      <c r="H90" t="s">
        <v>417</v>
      </c>
      <c r="I90" t="s">
        <v>134</v>
      </c>
      <c r="J90" s="11" t="s">
        <v>134</v>
      </c>
    </row>
    <row r="91" spans="1:10" x14ac:dyDescent="0.3">
      <c r="A91" t="s">
        <v>418</v>
      </c>
      <c r="B91" t="s">
        <v>419</v>
      </c>
      <c r="C91" t="s">
        <v>420</v>
      </c>
      <c r="D91">
        <v>3502</v>
      </c>
      <c r="E91" t="s">
        <v>421</v>
      </c>
      <c r="F91" s="3" t="s">
        <v>134</v>
      </c>
      <c r="G91" t="s">
        <v>422</v>
      </c>
      <c r="H91" t="s">
        <v>134</v>
      </c>
      <c r="I91" t="s">
        <v>134</v>
      </c>
      <c r="J91" s="11" t="s">
        <v>134</v>
      </c>
    </row>
    <row r="92" spans="1:10" x14ac:dyDescent="0.3">
      <c r="A92" t="s">
        <v>423</v>
      </c>
      <c r="B92" t="s">
        <v>134</v>
      </c>
      <c r="C92" t="s">
        <v>424</v>
      </c>
      <c r="D92" t="s">
        <v>134</v>
      </c>
      <c r="E92" t="s">
        <v>425</v>
      </c>
      <c r="F92" s="3" t="s">
        <v>426</v>
      </c>
      <c r="G92" t="s">
        <v>424</v>
      </c>
      <c r="H92" t="s">
        <v>134</v>
      </c>
      <c r="I92" t="s">
        <v>134</v>
      </c>
      <c r="J92" s="11" t="s">
        <v>134</v>
      </c>
    </row>
    <row r="93" spans="1:10" x14ac:dyDescent="0.3">
      <c r="A93" t="s">
        <v>427</v>
      </c>
      <c r="B93" t="s">
        <v>134</v>
      </c>
      <c r="C93" t="s">
        <v>134</v>
      </c>
      <c r="D93" t="s">
        <v>134</v>
      </c>
      <c r="E93" t="s">
        <v>428</v>
      </c>
      <c r="F93" s="3" t="s">
        <v>134</v>
      </c>
      <c r="G93" t="s">
        <v>429</v>
      </c>
      <c r="H93" t="s">
        <v>134</v>
      </c>
      <c r="I93" t="s">
        <v>134</v>
      </c>
      <c r="J93" s="11" t="s">
        <v>134</v>
      </c>
    </row>
    <row r="94" spans="1:10" x14ac:dyDescent="0.3">
      <c r="A94" t="s">
        <v>951</v>
      </c>
      <c r="B94" t="s">
        <v>134</v>
      </c>
      <c r="C94" t="s">
        <v>134</v>
      </c>
      <c r="D94" t="s">
        <v>158</v>
      </c>
      <c r="E94" t="s">
        <v>952</v>
      </c>
      <c r="F94" s="3" t="s">
        <v>954</v>
      </c>
      <c r="G94" t="s">
        <v>953</v>
      </c>
      <c r="H94" t="s">
        <v>134</v>
      </c>
      <c r="I94" t="s">
        <v>134</v>
      </c>
      <c r="J94" s="11" t="s">
        <v>134</v>
      </c>
    </row>
    <row r="95" spans="1:10" x14ac:dyDescent="0.3">
      <c r="A95" t="s">
        <v>430</v>
      </c>
      <c r="B95" t="s">
        <v>134</v>
      </c>
      <c r="C95" t="s">
        <v>134</v>
      </c>
      <c r="D95" t="s">
        <v>134</v>
      </c>
      <c r="E95" t="s">
        <v>134</v>
      </c>
      <c r="F95" s="3" t="s">
        <v>134</v>
      </c>
      <c r="G95" t="s">
        <v>134</v>
      </c>
      <c r="H95" t="s">
        <v>134</v>
      </c>
      <c r="I95" t="s">
        <v>134</v>
      </c>
      <c r="J95" s="11" t="s">
        <v>134</v>
      </c>
    </row>
    <row r="96" spans="1:10" x14ac:dyDescent="0.3">
      <c r="A96" t="s">
        <v>880</v>
      </c>
      <c r="B96" t="s">
        <v>134</v>
      </c>
      <c r="C96" t="s">
        <v>134</v>
      </c>
      <c r="D96" t="s">
        <v>158</v>
      </c>
      <c r="E96" t="s">
        <v>881</v>
      </c>
      <c r="F96" s="3" t="s">
        <v>882</v>
      </c>
      <c r="G96" s="4" t="s">
        <v>883</v>
      </c>
      <c r="H96" t="s">
        <v>134</v>
      </c>
      <c r="I96" t="s">
        <v>134</v>
      </c>
      <c r="J96" s="11" t="s">
        <v>134</v>
      </c>
    </row>
    <row r="97" spans="1:10" x14ac:dyDescent="0.3">
      <c r="A97" t="s">
        <v>865</v>
      </c>
      <c r="B97" t="s">
        <v>134</v>
      </c>
      <c r="C97" t="s">
        <v>866</v>
      </c>
      <c r="D97" t="s">
        <v>134</v>
      </c>
      <c r="E97" t="s">
        <v>867</v>
      </c>
      <c r="F97" s="3" t="s">
        <v>868</v>
      </c>
      <c r="G97" t="s">
        <v>866</v>
      </c>
      <c r="H97" t="s">
        <v>134</v>
      </c>
      <c r="I97" t="s">
        <v>134</v>
      </c>
      <c r="J97" s="11" t="s">
        <v>134</v>
      </c>
    </row>
    <row r="98" spans="1:10" x14ac:dyDescent="0.3">
      <c r="A98" t="s">
        <v>431</v>
      </c>
      <c r="B98" t="s">
        <v>432</v>
      </c>
      <c r="C98" t="s">
        <v>134</v>
      </c>
      <c r="D98" t="s">
        <v>134</v>
      </c>
      <c r="E98" t="s">
        <v>134</v>
      </c>
      <c r="F98" s="3" t="s">
        <v>134</v>
      </c>
      <c r="G98" t="s">
        <v>134</v>
      </c>
      <c r="H98" t="s">
        <v>134</v>
      </c>
      <c r="I98" t="s">
        <v>134</v>
      </c>
      <c r="J98" s="11" t="s">
        <v>134</v>
      </c>
    </row>
    <row r="99" spans="1:10" x14ac:dyDescent="0.3">
      <c r="A99" t="s">
        <v>433</v>
      </c>
      <c r="B99" t="s">
        <v>434</v>
      </c>
      <c r="C99" t="s">
        <v>134</v>
      </c>
      <c r="D99" t="s">
        <v>134</v>
      </c>
      <c r="E99" t="s">
        <v>435</v>
      </c>
      <c r="F99" s="3" t="s">
        <v>134</v>
      </c>
      <c r="G99" t="s">
        <v>436</v>
      </c>
      <c r="H99" t="s">
        <v>134</v>
      </c>
      <c r="I99" t="s">
        <v>134</v>
      </c>
      <c r="J99" s="11" t="s">
        <v>134</v>
      </c>
    </row>
    <row r="100" spans="1:10" x14ac:dyDescent="0.3">
      <c r="A100" t="s">
        <v>437</v>
      </c>
      <c r="B100" t="s">
        <v>254</v>
      </c>
      <c r="C100" t="s">
        <v>134</v>
      </c>
      <c r="D100" t="s">
        <v>438</v>
      </c>
      <c r="E100" t="s">
        <v>439</v>
      </c>
      <c r="F100" s="3" t="s">
        <v>440</v>
      </c>
      <c r="G100" t="s">
        <v>441</v>
      </c>
      <c r="H100" t="s">
        <v>134</v>
      </c>
      <c r="I100" t="s">
        <v>134</v>
      </c>
      <c r="J100" s="11" t="s">
        <v>134</v>
      </c>
    </row>
    <row r="101" spans="1:10" x14ac:dyDescent="0.3">
      <c r="A101" t="s">
        <v>819</v>
      </c>
      <c r="B101" t="s">
        <v>820</v>
      </c>
      <c r="C101" t="s">
        <v>134</v>
      </c>
      <c r="D101" t="s">
        <v>899</v>
      </c>
      <c r="E101" t="s">
        <v>821</v>
      </c>
      <c r="F101" s="3" t="s">
        <v>822</v>
      </c>
      <c r="G101" s="4" t="s">
        <v>823</v>
      </c>
      <c r="H101" t="s">
        <v>134</v>
      </c>
      <c r="I101" t="s">
        <v>134</v>
      </c>
      <c r="J101" s="11" t="s">
        <v>134</v>
      </c>
    </row>
    <row r="102" spans="1:10" x14ac:dyDescent="0.3">
      <c r="A102" t="s">
        <v>442</v>
      </c>
      <c r="B102" t="s">
        <v>134</v>
      </c>
      <c r="C102" t="s">
        <v>134</v>
      </c>
      <c r="D102" t="s">
        <v>134</v>
      </c>
      <c r="E102" t="s">
        <v>443</v>
      </c>
      <c r="F102" s="3" t="s">
        <v>444</v>
      </c>
      <c r="G102" t="s">
        <v>445</v>
      </c>
      <c r="H102" t="s">
        <v>134</v>
      </c>
      <c r="I102" t="s">
        <v>134</v>
      </c>
      <c r="J102" s="11" t="s">
        <v>134</v>
      </c>
    </row>
    <row r="103" spans="1:10" x14ac:dyDescent="0.3">
      <c r="A103" t="s">
        <v>446</v>
      </c>
      <c r="B103" t="s">
        <v>134</v>
      </c>
      <c r="C103" t="s">
        <v>134</v>
      </c>
      <c r="D103" t="s">
        <v>134</v>
      </c>
      <c r="E103" t="s">
        <v>134</v>
      </c>
      <c r="F103" s="3" t="s">
        <v>134</v>
      </c>
      <c r="G103" t="s">
        <v>134</v>
      </c>
      <c r="H103" t="s">
        <v>134</v>
      </c>
      <c r="I103" t="s">
        <v>134</v>
      </c>
      <c r="J103" s="11" t="s">
        <v>134</v>
      </c>
    </row>
    <row r="104" spans="1:10" x14ac:dyDescent="0.3">
      <c r="A104" t="s">
        <v>447</v>
      </c>
      <c r="B104" t="s">
        <v>448</v>
      </c>
      <c r="C104" t="s">
        <v>449</v>
      </c>
      <c r="D104">
        <v>207</v>
      </c>
      <c r="E104" t="s">
        <v>450</v>
      </c>
      <c r="F104" s="3" t="s">
        <v>451</v>
      </c>
      <c r="G104" t="s">
        <v>452</v>
      </c>
      <c r="H104">
        <v>5565661815</v>
      </c>
      <c r="I104" t="s">
        <v>837</v>
      </c>
      <c r="J104" s="11" t="s">
        <v>134</v>
      </c>
    </row>
    <row r="105" spans="1:10" x14ac:dyDescent="0.3">
      <c r="A105" t="s">
        <v>453</v>
      </c>
      <c r="B105" t="s">
        <v>448</v>
      </c>
      <c r="C105" t="s">
        <v>449</v>
      </c>
      <c r="D105">
        <v>115</v>
      </c>
      <c r="E105" t="s">
        <v>454</v>
      </c>
      <c r="F105" s="3" t="s">
        <v>134</v>
      </c>
      <c r="G105" t="s">
        <v>455</v>
      </c>
      <c r="H105" t="s">
        <v>134</v>
      </c>
      <c r="I105" t="s">
        <v>134</v>
      </c>
      <c r="J105" s="11" t="s">
        <v>134</v>
      </c>
    </row>
    <row r="106" spans="1:10" x14ac:dyDescent="0.3">
      <c r="A106" t="s">
        <v>456</v>
      </c>
      <c r="B106" t="s">
        <v>448</v>
      </c>
      <c r="C106" t="s">
        <v>449</v>
      </c>
      <c r="D106">
        <v>115</v>
      </c>
      <c r="E106" t="s">
        <v>457</v>
      </c>
      <c r="F106" s="3" t="s">
        <v>458</v>
      </c>
      <c r="G106" t="s">
        <v>459</v>
      </c>
      <c r="H106" t="s">
        <v>134</v>
      </c>
      <c r="I106" t="s">
        <v>134</v>
      </c>
      <c r="J106" s="11" t="s">
        <v>134</v>
      </c>
    </row>
    <row r="107" spans="1:10" x14ac:dyDescent="0.3">
      <c r="A107" t="s">
        <v>460</v>
      </c>
      <c r="B107" t="s">
        <v>448</v>
      </c>
      <c r="C107" t="s">
        <v>449</v>
      </c>
      <c r="D107">
        <v>115</v>
      </c>
      <c r="E107" t="s">
        <v>461</v>
      </c>
      <c r="F107" s="3" t="s">
        <v>462</v>
      </c>
      <c r="G107" t="s">
        <v>463</v>
      </c>
      <c r="H107" t="s">
        <v>134</v>
      </c>
      <c r="I107" t="s">
        <v>134</v>
      </c>
      <c r="J107" s="11" t="s">
        <v>134</v>
      </c>
    </row>
    <row r="108" spans="1:10" x14ac:dyDescent="0.3">
      <c r="A108" t="s">
        <v>464</v>
      </c>
      <c r="B108" t="s">
        <v>254</v>
      </c>
      <c r="C108" t="s">
        <v>134</v>
      </c>
      <c r="D108" t="s">
        <v>465</v>
      </c>
      <c r="E108" t="s">
        <v>466</v>
      </c>
      <c r="F108" s="3" t="s">
        <v>467</v>
      </c>
      <c r="G108" t="s">
        <v>468</v>
      </c>
      <c r="H108" t="s">
        <v>134</v>
      </c>
      <c r="I108" t="s">
        <v>134</v>
      </c>
      <c r="J108" s="11" t="s">
        <v>134</v>
      </c>
    </row>
    <row r="109" spans="1:10" x14ac:dyDescent="0.3">
      <c r="A109" t="s">
        <v>469</v>
      </c>
      <c r="B109" t="s">
        <v>223</v>
      </c>
      <c r="C109" t="s">
        <v>134</v>
      </c>
      <c r="D109" t="s">
        <v>470</v>
      </c>
      <c r="E109" t="s">
        <v>471</v>
      </c>
      <c r="F109" s="3" t="s">
        <v>472</v>
      </c>
      <c r="G109" t="s">
        <v>473</v>
      </c>
      <c r="H109" t="s">
        <v>134</v>
      </c>
      <c r="I109" t="s">
        <v>134</v>
      </c>
      <c r="J109" s="11" t="s">
        <v>134</v>
      </c>
    </row>
    <row r="110" spans="1:10" x14ac:dyDescent="0.3">
      <c r="A110" t="s">
        <v>474</v>
      </c>
      <c r="B110" t="s">
        <v>254</v>
      </c>
      <c r="C110" t="s">
        <v>134</v>
      </c>
      <c r="D110" t="s">
        <v>465</v>
      </c>
      <c r="E110" t="s">
        <v>466</v>
      </c>
      <c r="F110" s="3" t="s">
        <v>475</v>
      </c>
      <c r="G110" t="s">
        <v>468</v>
      </c>
      <c r="H110" t="s">
        <v>134</v>
      </c>
      <c r="I110" t="s">
        <v>134</v>
      </c>
      <c r="J110" s="11" t="s">
        <v>134</v>
      </c>
    </row>
    <row r="111" spans="1:10" x14ac:dyDescent="0.3">
      <c r="A111" t="s">
        <v>476</v>
      </c>
      <c r="B111" t="s">
        <v>477</v>
      </c>
      <c r="C111" t="s">
        <v>478</v>
      </c>
      <c r="D111" t="s">
        <v>134</v>
      </c>
      <c r="E111" t="s">
        <v>479</v>
      </c>
      <c r="F111" s="3" t="s">
        <v>134</v>
      </c>
      <c r="G111" t="s">
        <v>134</v>
      </c>
      <c r="H111" t="s">
        <v>480</v>
      </c>
      <c r="I111" t="s">
        <v>134</v>
      </c>
      <c r="J111" s="11" t="s">
        <v>134</v>
      </c>
    </row>
    <row r="112" spans="1:10" x14ac:dyDescent="0.3">
      <c r="A112" t="s">
        <v>481</v>
      </c>
      <c r="B112" t="s">
        <v>134</v>
      </c>
      <c r="C112" t="s">
        <v>134</v>
      </c>
      <c r="D112" t="s">
        <v>134</v>
      </c>
      <c r="E112" t="s">
        <v>134</v>
      </c>
      <c r="F112" s="3" t="s">
        <v>134</v>
      </c>
      <c r="G112" t="s">
        <v>134</v>
      </c>
      <c r="H112" t="s">
        <v>134</v>
      </c>
      <c r="I112" t="s">
        <v>134</v>
      </c>
      <c r="J112" s="11" t="s">
        <v>134</v>
      </c>
    </row>
    <row r="113" spans="1:10" x14ac:dyDescent="0.3">
      <c r="A113" t="s">
        <v>186</v>
      </c>
      <c r="B113" t="s">
        <v>134</v>
      </c>
      <c r="C113" t="s">
        <v>134</v>
      </c>
      <c r="D113" t="s">
        <v>134</v>
      </c>
      <c r="E113" t="s">
        <v>186</v>
      </c>
      <c r="F113" s="3" t="s">
        <v>482</v>
      </c>
      <c r="G113" t="s">
        <v>188</v>
      </c>
      <c r="H113" t="s">
        <v>134</v>
      </c>
      <c r="I113" t="s">
        <v>134</v>
      </c>
      <c r="J113" s="11" t="s">
        <v>134</v>
      </c>
    </row>
    <row r="114" spans="1:10" x14ac:dyDescent="0.3">
      <c r="A114" t="s">
        <v>483</v>
      </c>
      <c r="B114" t="s">
        <v>134</v>
      </c>
      <c r="C114" t="s">
        <v>484</v>
      </c>
      <c r="D114" t="s">
        <v>134</v>
      </c>
      <c r="E114" t="s">
        <v>485</v>
      </c>
      <c r="F114" s="3" t="s">
        <v>486</v>
      </c>
      <c r="G114" t="s">
        <v>484</v>
      </c>
      <c r="H114" t="s">
        <v>134</v>
      </c>
      <c r="I114" t="s">
        <v>134</v>
      </c>
      <c r="J114" s="11" t="s">
        <v>134</v>
      </c>
    </row>
    <row r="115" spans="1:10" x14ac:dyDescent="0.3">
      <c r="A115" t="s">
        <v>487</v>
      </c>
      <c r="B115" t="s">
        <v>134</v>
      </c>
      <c r="C115" t="s">
        <v>488</v>
      </c>
      <c r="D115" t="s">
        <v>134</v>
      </c>
      <c r="E115" t="s">
        <v>489</v>
      </c>
      <c r="F115" s="3" t="s">
        <v>490</v>
      </c>
      <c r="G115" t="s">
        <v>488</v>
      </c>
      <c r="H115" t="s">
        <v>134</v>
      </c>
      <c r="I115" t="s">
        <v>134</v>
      </c>
      <c r="J115" s="11" t="s">
        <v>134</v>
      </c>
    </row>
    <row r="116" spans="1:10" x14ac:dyDescent="0.3">
      <c r="A116" t="s">
        <v>491</v>
      </c>
      <c r="B116" t="s">
        <v>134</v>
      </c>
      <c r="C116" t="s">
        <v>492</v>
      </c>
      <c r="D116" t="s">
        <v>134</v>
      </c>
      <c r="E116" t="s">
        <v>493</v>
      </c>
      <c r="F116" s="3" t="s">
        <v>134</v>
      </c>
      <c r="G116" t="s">
        <v>494</v>
      </c>
      <c r="H116" t="s">
        <v>134</v>
      </c>
      <c r="I116" t="s">
        <v>134</v>
      </c>
      <c r="J116" s="11" t="s">
        <v>134</v>
      </c>
    </row>
    <row r="117" spans="1:10" x14ac:dyDescent="0.3">
      <c r="A117" t="s">
        <v>495</v>
      </c>
      <c r="B117" t="s">
        <v>496</v>
      </c>
      <c r="C117" t="s">
        <v>134</v>
      </c>
      <c r="D117" t="s">
        <v>497</v>
      </c>
      <c r="E117" t="s">
        <v>498</v>
      </c>
      <c r="F117" s="3" t="s">
        <v>134</v>
      </c>
      <c r="G117" t="s">
        <v>499</v>
      </c>
      <c r="H117" t="s">
        <v>228</v>
      </c>
      <c r="I117" t="s">
        <v>134</v>
      </c>
      <c r="J117" s="11" t="s">
        <v>134</v>
      </c>
    </row>
    <row r="118" spans="1:10" x14ac:dyDescent="0.3">
      <c r="A118" t="s">
        <v>500</v>
      </c>
      <c r="B118" t="s">
        <v>496</v>
      </c>
      <c r="C118" t="s">
        <v>134</v>
      </c>
      <c r="D118" t="s">
        <v>497</v>
      </c>
      <c r="E118" t="s">
        <v>501</v>
      </c>
      <c r="F118" s="3" t="s">
        <v>502</v>
      </c>
      <c r="G118" t="s">
        <v>503</v>
      </c>
      <c r="H118" t="s">
        <v>228</v>
      </c>
      <c r="I118" t="s">
        <v>961</v>
      </c>
      <c r="J118" s="11">
        <v>7340076800054</v>
      </c>
    </row>
    <row r="119" spans="1:10" x14ac:dyDescent="0.3">
      <c r="A119" t="s">
        <v>504</v>
      </c>
      <c r="B119" t="s">
        <v>338</v>
      </c>
      <c r="C119" t="s">
        <v>134</v>
      </c>
      <c r="D119" t="s">
        <v>465</v>
      </c>
      <c r="E119" t="s">
        <v>505</v>
      </c>
      <c r="F119" s="3" t="s">
        <v>134</v>
      </c>
      <c r="G119" t="s">
        <v>506</v>
      </c>
      <c r="H119" t="s">
        <v>134</v>
      </c>
      <c r="I119" t="s">
        <v>134</v>
      </c>
      <c r="J119" s="11" t="s">
        <v>134</v>
      </c>
    </row>
    <row r="120" spans="1:10" x14ac:dyDescent="0.3">
      <c r="A120" t="s">
        <v>507</v>
      </c>
      <c r="B120" t="s">
        <v>338</v>
      </c>
      <c r="C120" t="s">
        <v>134</v>
      </c>
      <c r="D120" t="s">
        <v>465</v>
      </c>
      <c r="E120" t="s">
        <v>505</v>
      </c>
      <c r="F120" s="3" t="s">
        <v>134</v>
      </c>
      <c r="G120" t="s">
        <v>506</v>
      </c>
      <c r="H120" t="s">
        <v>134</v>
      </c>
      <c r="I120" t="s">
        <v>134</v>
      </c>
      <c r="J120" s="11" t="s">
        <v>134</v>
      </c>
    </row>
    <row r="121" spans="1:10" x14ac:dyDescent="0.3">
      <c r="A121" t="s">
        <v>508</v>
      </c>
      <c r="B121" t="s">
        <v>338</v>
      </c>
      <c r="C121" t="s">
        <v>134</v>
      </c>
      <c r="D121" t="s">
        <v>465</v>
      </c>
      <c r="E121" t="s">
        <v>505</v>
      </c>
      <c r="F121" s="3" t="s">
        <v>134</v>
      </c>
      <c r="G121" t="s">
        <v>506</v>
      </c>
      <c r="H121" t="s">
        <v>134</v>
      </c>
      <c r="I121" t="s">
        <v>134</v>
      </c>
      <c r="J121" s="11" t="s">
        <v>134</v>
      </c>
    </row>
    <row r="122" spans="1:10" x14ac:dyDescent="0.3">
      <c r="A122" t="s">
        <v>509</v>
      </c>
      <c r="B122" t="s">
        <v>510</v>
      </c>
      <c r="C122" t="s">
        <v>511</v>
      </c>
      <c r="D122">
        <v>90096</v>
      </c>
      <c r="E122" t="s">
        <v>512</v>
      </c>
      <c r="F122" s="3" t="s">
        <v>513</v>
      </c>
      <c r="G122" t="s">
        <v>514</v>
      </c>
      <c r="H122" t="s">
        <v>515</v>
      </c>
      <c r="I122" t="s">
        <v>134</v>
      </c>
      <c r="J122" s="11" t="s">
        <v>134</v>
      </c>
    </row>
    <row r="123" spans="1:10" x14ac:dyDescent="0.3">
      <c r="A123" t="s">
        <v>516</v>
      </c>
      <c r="B123" t="s">
        <v>517</v>
      </c>
      <c r="C123" t="s">
        <v>511</v>
      </c>
      <c r="D123">
        <v>90162</v>
      </c>
      <c r="E123" t="s">
        <v>518</v>
      </c>
      <c r="F123" s="3" t="s">
        <v>519</v>
      </c>
      <c r="G123" t="s">
        <v>520</v>
      </c>
      <c r="H123" t="s">
        <v>515</v>
      </c>
      <c r="I123" t="s">
        <v>134</v>
      </c>
      <c r="J123" s="11" t="s">
        <v>134</v>
      </c>
    </row>
    <row r="124" spans="1:10" x14ac:dyDescent="0.3">
      <c r="A124" t="s">
        <v>521</v>
      </c>
      <c r="B124" t="s">
        <v>510</v>
      </c>
      <c r="C124" t="s">
        <v>511</v>
      </c>
      <c r="D124">
        <v>90096</v>
      </c>
      <c r="E124" t="s">
        <v>522</v>
      </c>
      <c r="F124" s="3" t="s">
        <v>523</v>
      </c>
      <c r="G124" t="s">
        <v>524</v>
      </c>
      <c r="H124" t="s">
        <v>515</v>
      </c>
      <c r="I124" t="s">
        <v>134</v>
      </c>
      <c r="J124" s="11" t="s">
        <v>134</v>
      </c>
    </row>
    <row r="125" spans="1:10" x14ac:dyDescent="0.3">
      <c r="A125" t="s">
        <v>525</v>
      </c>
      <c r="B125" t="s">
        <v>510</v>
      </c>
      <c r="C125" t="s">
        <v>900</v>
      </c>
      <c r="D125">
        <v>90096</v>
      </c>
      <c r="E125" t="s">
        <v>527</v>
      </c>
      <c r="F125" s="3" t="s">
        <v>528</v>
      </c>
      <c r="G125" t="s">
        <v>526</v>
      </c>
      <c r="H125" t="s">
        <v>134</v>
      </c>
      <c r="I125" t="s">
        <v>901</v>
      </c>
      <c r="J125" s="11">
        <v>7365560354301</v>
      </c>
    </row>
    <row r="126" spans="1:10" x14ac:dyDescent="0.3">
      <c r="A126" t="s">
        <v>529</v>
      </c>
      <c r="B126" t="s">
        <v>530</v>
      </c>
      <c r="C126" t="s">
        <v>511</v>
      </c>
      <c r="D126">
        <v>425</v>
      </c>
      <c r="E126" t="s">
        <v>531</v>
      </c>
      <c r="F126" s="3" t="s">
        <v>532</v>
      </c>
      <c r="G126" t="s">
        <v>533</v>
      </c>
      <c r="H126" t="s">
        <v>134</v>
      </c>
      <c r="I126" t="s">
        <v>134</v>
      </c>
      <c r="J126" s="11" t="s">
        <v>134</v>
      </c>
    </row>
    <row r="127" spans="1:10" x14ac:dyDescent="0.3">
      <c r="A127" t="s">
        <v>534</v>
      </c>
      <c r="B127" t="s">
        <v>535</v>
      </c>
      <c r="C127" t="s">
        <v>536</v>
      </c>
      <c r="D127" t="s">
        <v>134</v>
      </c>
      <c r="E127" t="s">
        <v>537</v>
      </c>
      <c r="F127" s="3" t="s">
        <v>134</v>
      </c>
      <c r="G127" t="s">
        <v>538</v>
      </c>
      <c r="H127" t="s">
        <v>134</v>
      </c>
      <c r="I127" t="s">
        <v>134</v>
      </c>
      <c r="J127" s="11" t="s">
        <v>134</v>
      </c>
    </row>
    <row r="128" spans="1:10" x14ac:dyDescent="0.3">
      <c r="A128" t="s">
        <v>485</v>
      </c>
      <c r="B128" t="s">
        <v>134</v>
      </c>
      <c r="C128" t="s">
        <v>484</v>
      </c>
      <c r="D128" t="s">
        <v>134</v>
      </c>
      <c r="E128" t="s">
        <v>485</v>
      </c>
      <c r="F128" s="3" t="s">
        <v>486</v>
      </c>
      <c r="G128" t="s">
        <v>484</v>
      </c>
      <c r="H128" t="s">
        <v>134</v>
      </c>
      <c r="I128" t="s">
        <v>134</v>
      </c>
      <c r="J128" s="11" t="s">
        <v>134</v>
      </c>
    </row>
    <row r="129" spans="1:10" x14ac:dyDescent="0.3">
      <c r="A129" t="s">
        <v>539</v>
      </c>
      <c r="B129" t="s">
        <v>134</v>
      </c>
      <c r="C129" t="s">
        <v>134</v>
      </c>
      <c r="D129" t="s">
        <v>134</v>
      </c>
      <c r="E129" t="s">
        <v>134</v>
      </c>
      <c r="F129" s="3" t="s">
        <v>540</v>
      </c>
      <c r="G129" t="s">
        <v>134</v>
      </c>
      <c r="H129" t="s">
        <v>134</v>
      </c>
      <c r="I129" t="s">
        <v>134</v>
      </c>
      <c r="J129" s="11" t="s">
        <v>134</v>
      </c>
    </row>
    <row r="130" spans="1:10" x14ac:dyDescent="0.3">
      <c r="A130" t="s">
        <v>541</v>
      </c>
      <c r="B130" t="s">
        <v>542</v>
      </c>
      <c r="C130" t="s">
        <v>543</v>
      </c>
      <c r="D130" t="s">
        <v>544</v>
      </c>
      <c r="E130" t="s">
        <v>544</v>
      </c>
      <c r="F130" s="3" t="s">
        <v>545</v>
      </c>
      <c r="G130" t="s">
        <v>546</v>
      </c>
      <c r="H130" t="s">
        <v>547</v>
      </c>
      <c r="I130" t="s">
        <v>134</v>
      </c>
      <c r="J130" s="11" t="s">
        <v>134</v>
      </c>
    </row>
    <row r="131" spans="1:10" x14ac:dyDescent="0.3">
      <c r="A131" t="s">
        <v>548</v>
      </c>
      <c r="B131" t="s">
        <v>549</v>
      </c>
      <c r="C131" t="s">
        <v>134</v>
      </c>
      <c r="D131" t="s">
        <v>550</v>
      </c>
      <c r="E131" t="s">
        <v>551</v>
      </c>
      <c r="F131" s="3" t="s">
        <v>552</v>
      </c>
      <c r="G131" t="s">
        <v>553</v>
      </c>
      <c r="H131" t="s">
        <v>554</v>
      </c>
      <c r="I131" t="s">
        <v>134</v>
      </c>
      <c r="J131" s="11" t="s">
        <v>134</v>
      </c>
    </row>
    <row r="132" spans="1:10" x14ac:dyDescent="0.3">
      <c r="A132" t="s">
        <v>555</v>
      </c>
      <c r="B132" t="s">
        <v>134</v>
      </c>
      <c r="C132" t="s">
        <v>134</v>
      </c>
      <c r="D132" t="s">
        <v>134</v>
      </c>
      <c r="E132" t="s">
        <v>134</v>
      </c>
      <c r="F132" s="3" t="s">
        <v>134</v>
      </c>
      <c r="G132" t="s">
        <v>134</v>
      </c>
      <c r="H132" t="s">
        <v>134</v>
      </c>
      <c r="I132" t="s">
        <v>134</v>
      </c>
      <c r="J132" s="11" t="s">
        <v>134</v>
      </c>
    </row>
    <row r="133" spans="1:10" x14ac:dyDescent="0.3">
      <c r="A133" t="s">
        <v>556</v>
      </c>
      <c r="B133" t="s">
        <v>557</v>
      </c>
      <c r="C133" t="s">
        <v>558</v>
      </c>
      <c r="D133" t="s">
        <v>134</v>
      </c>
      <c r="E133" t="s">
        <v>559</v>
      </c>
      <c r="F133" s="3" t="s">
        <v>560</v>
      </c>
      <c r="G133" t="s">
        <v>558</v>
      </c>
      <c r="H133" t="s">
        <v>134</v>
      </c>
      <c r="I133" t="s">
        <v>134</v>
      </c>
      <c r="J133" s="11" t="s">
        <v>134</v>
      </c>
    </row>
    <row r="134" spans="1:10" x14ac:dyDescent="0.3">
      <c r="A134" t="s">
        <v>561</v>
      </c>
      <c r="B134" t="s">
        <v>562</v>
      </c>
      <c r="C134" t="s">
        <v>563</v>
      </c>
      <c r="D134" t="s">
        <v>134</v>
      </c>
      <c r="E134" t="s">
        <v>564</v>
      </c>
      <c r="F134" s="3" t="s">
        <v>565</v>
      </c>
      <c r="G134" t="s">
        <v>566</v>
      </c>
      <c r="H134" t="s">
        <v>134</v>
      </c>
      <c r="I134" t="s">
        <v>134</v>
      </c>
      <c r="J134" s="11" t="s">
        <v>134</v>
      </c>
    </row>
    <row r="135" spans="1:10" x14ac:dyDescent="0.3">
      <c r="A135" t="s">
        <v>567</v>
      </c>
      <c r="B135" t="s">
        <v>134</v>
      </c>
      <c r="C135" t="s">
        <v>893</v>
      </c>
      <c r="D135" t="s">
        <v>569</v>
      </c>
      <c r="E135" t="s">
        <v>570</v>
      </c>
      <c r="F135" s="3" t="s">
        <v>571</v>
      </c>
      <c r="G135" t="s">
        <v>572</v>
      </c>
      <c r="H135" t="s">
        <v>573</v>
      </c>
      <c r="I135" t="s">
        <v>811</v>
      </c>
      <c r="J135" s="11">
        <v>7365565715893</v>
      </c>
    </row>
    <row r="136" spans="1:10" x14ac:dyDescent="0.3">
      <c r="A136" t="s">
        <v>574</v>
      </c>
      <c r="B136" t="s">
        <v>568</v>
      </c>
      <c r="C136" t="s">
        <v>893</v>
      </c>
      <c r="D136" t="s">
        <v>569</v>
      </c>
      <c r="E136" t="s">
        <v>575</v>
      </c>
      <c r="F136" s="3">
        <v>730313979</v>
      </c>
      <c r="G136" s="4" t="s">
        <v>576</v>
      </c>
      <c r="H136" t="s">
        <v>573</v>
      </c>
      <c r="I136" t="s">
        <v>811</v>
      </c>
      <c r="J136" s="11">
        <v>7365565715893</v>
      </c>
    </row>
    <row r="137" spans="1:10" x14ac:dyDescent="0.3">
      <c r="A137" t="s">
        <v>577</v>
      </c>
      <c r="B137" t="s">
        <v>134</v>
      </c>
      <c r="C137" t="s">
        <v>134</v>
      </c>
      <c r="D137" t="s">
        <v>134</v>
      </c>
      <c r="E137" t="s">
        <v>134</v>
      </c>
      <c r="F137" s="3" t="s">
        <v>134</v>
      </c>
      <c r="G137" t="s">
        <v>134</v>
      </c>
      <c r="H137" t="s">
        <v>134</v>
      </c>
      <c r="I137" t="s">
        <v>134</v>
      </c>
      <c r="J137" s="11" t="s">
        <v>134</v>
      </c>
    </row>
    <row r="138" spans="1:10" x14ac:dyDescent="0.3">
      <c r="A138" t="s">
        <v>578</v>
      </c>
      <c r="B138" t="s">
        <v>333</v>
      </c>
      <c r="C138" t="s">
        <v>134</v>
      </c>
      <c r="D138" t="s">
        <v>579</v>
      </c>
      <c r="E138" t="s">
        <v>580</v>
      </c>
      <c r="F138" s="3" t="s">
        <v>134</v>
      </c>
      <c r="G138" t="s">
        <v>581</v>
      </c>
      <c r="H138" t="s">
        <v>134</v>
      </c>
      <c r="I138" t="s">
        <v>134</v>
      </c>
      <c r="J138" s="11" t="s">
        <v>134</v>
      </c>
    </row>
    <row r="139" spans="1:10" x14ac:dyDescent="0.3">
      <c r="A139" t="s">
        <v>582</v>
      </c>
      <c r="B139" t="s">
        <v>583</v>
      </c>
      <c r="C139" t="s">
        <v>134</v>
      </c>
      <c r="D139" t="s">
        <v>579</v>
      </c>
      <c r="E139" t="s">
        <v>584</v>
      </c>
      <c r="F139" s="3" t="s">
        <v>585</v>
      </c>
      <c r="G139" t="s">
        <v>586</v>
      </c>
      <c r="H139" t="s">
        <v>134</v>
      </c>
      <c r="I139" t="s">
        <v>134</v>
      </c>
      <c r="J139" s="11" t="s">
        <v>134</v>
      </c>
    </row>
    <row r="140" spans="1:10" x14ac:dyDescent="0.3">
      <c r="A140" t="s">
        <v>587</v>
      </c>
      <c r="B140" t="s">
        <v>134</v>
      </c>
      <c r="C140" t="s">
        <v>134</v>
      </c>
      <c r="D140" t="s">
        <v>134</v>
      </c>
      <c r="E140" t="s">
        <v>134</v>
      </c>
      <c r="F140" s="3" t="s">
        <v>134</v>
      </c>
      <c r="G140" t="s">
        <v>134</v>
      </c>
      <c r="H140" t="s">
        <v>134</v>
      </c>
      <c r="I140" t="s">
        <v>134</v>
      </c>
      <c r="J140" s="11" t="s">
        <v>134</v>
      </c>
    </row>
    <row r="141" spans="1:10" x14ac:dyDescent="0.3">
      <c r="A141" t="s">
        <v>588</v>
      </c>
      <c r="B141" t="s">
        <v>134</v>
      </c>
      <c r="C141" t="s">
        <v>589</v>
      </c>
      <c r="D141" t="s">
        <v>134</v>
      </c>
      <c r="E141" t="s">
        <v>590</v>
      </c>
      <c r="F141" s="3" t="s">
        <v>591</v>
      </c>
      <c r="G141" t="s">
        <v>592</v>
      </c>
      <c r="H141" t="s">
        <v>134</v>
      </c>
      <c r="I141" t="s">
        <v>134</v>
      </c>
      <c r="J141" s="11" t="s">
        <v>134</v>
      </c>
    </row>
    <row r="142" spans="1:10" x14ac:dyDescent="0.3">
      <c r="A142" t="s">
        <v>593</v>
      </c>
      <c r="B142" t="s">
        <v>223</v>
      </c>
      <c r="C142" t="s">
        <v>134</v>
      </c>
      <c r="D142" t="s">
        <v>594</v>
      </c>
      <c r="E142" t="s">
        <v>595</v>
      </c>
      <c r="F142" s="3" t="s">
        <v>851</v>
      </c>
      <c r="G142" s="4" t="s">
        <v>596</v>
      </c>
      <c r="H142" t="s">
        <v>134</v>
      </c>
      <c r="I142" t="s">
        <v>134</v>
      </c>
      <c r="J142" s="11" t="s">
        <v>134</v>
      </c>
    </row>
    <row r="143" spans="1:10" x14ac:dyDescent="0.3">
      <c r="A143" t="s">
        <v>597</v>
      </c>
      <c r="B143" t="s">
        <v>333</v>
      </c>
      <c r="C143" t="s">
        <v>134</v>
      </c>
      <c r="D143" t="s">
        <v>598</v>
      </c>
      <c r="E143" t="s">
        <v>599</v>
      </c>
      <c r="F143" s="3" t="s">
        <v>134</v>
      </c>
      <c r="G143" t="s">
        <v>600</v>
      </c>
      <c r="H143" t="s">
        <v>134</v>
      </c>
      <c r="I143" t="s">
        <v>134</v>
      </c>
      <c r="J143" s="11" t="s">
        <v>134</v>
      </c>
    </row>
    <row r="144" spans="1:10" x14ac:dyDescent="0.3">
      <c r="A144" t="s">
        <v>601</v>
      </c>
      <c r="B144" t="s">
        <v>134</v>
      </c>
      <c r="C144" t="s">
        <v>602</v>
      </c>
      <c r="D144" t="s">
        <v>603</v>
      </c>
      <c r="E144" t="s">
        <v>134</v>
      </c>
      <c r="F144" s="3" t="s">
        <v>134</v>
      </c>
      <c r="G144" t="s">
        <v>604</v>
      </c>
      <c r="H144" t="s">
        <v>134</v>
      </c>
      <c r="I144" t="s">
        <v>134</v>
      </c>
      <c r="J144" s="11" t="s">
        <v>134</v>
      </c>
    </row>
    <row r="145" spans="1:10" x14ac:dyDescent="0.3">
      <c r="A145" t="s">
        <v>605</v>
      </c>
      <c r="B145" t="s">
        <v>134</v>
      </c>
      <c r="C145" t="s">
        <v>606</v>
      </c>
      <c r="D145" t="s">
        <v>607</v>
      </c>
      <c r="E145" t="s">
        <v>607</v>
      </c>
      <c r="F145" s="3" t="s">
        <v>608</v>
      </c>
      <c r="G145" t="s">
        <v>606</v>
      </c>
      <c r="H145" t="s">
        <v>134</v>
      </c>
      <c r="I145" t="s">
        <v>134</v>
      </c>
      <c r="J145" s="11" t="s">
        <v>134</v>
      </c>
    </row>
    <row r="146" spans="1:10" x14ac:dyDescent="0.3">
      <c r="A146" t="s">
        <v>853</v>
      </c>
      <c r="B146" t="s">
        <v>134</v>
      </c>
      <c r="C146" s="4" t="s">
        <v>854</v>
      </c>
      <c r="D146" t="s">
        <v>134</v>
      </c>
      <c r="E146" t="s">
        <v>855</v>
      </c>
      <c r="F146" s="3" t="s">
        <v>856</v>
      </c>
      <c r="G146" t="s">
        <v>854</v>
      </c>
      <c r="H146" t="s">
        <v>134</v>
      </c>
      <c r="I146" t="s">
        <v>134</v>
      </c>
      <c r="J146" s="11" t="s">
        <v>134</v>
      </c>
    </row>
    <row r="147" spans="1:10" x14ac:dyDescent="0.3">
      <c r="A147" t="s">
        <v>609</v>
      </c>
      <c r="B147" t="s">
        <v>610</v>
      </c>
      <c r="C147" t="s">
        <v>611</v>
      </c>
      <c r="D147" t="s">
        <v>612</v>
      </c>
      <c r="E147" t="s">
        <v>613</v>
      </c>
      <c r="F147" s="3" t="s">
        <v>134</v>
      </c>
      <c r="G147" t="s">
        <v>611</v>
      </c>
      <c r="H147" t="s">
        <v>614</v>
      </c>
      <c r="I147" t="s">
        <v>134</v>
      </c>
      <c r="J147" s="11" t="s">
        <v>134</v>
      </c>
    </row>
    <row r="148" spans="1:10" x14ac:dyDescent="0.3">
      <c r="A148" t="s">
        <v>886</v>
      </c>
      <c r="B148" t="s">
        <v>134</v>
      </c>
      <c r="C148" s="4" t="s">
        <v>884</v>
      </c>
      <c r="D148" t="s">
        <v>134</v>
      </c>
      <c r="E148" t="s">
        <v>885</v>
      </c>
      <c r="F148" s="3" t="s">
        <v>887</v>
      </c>
      <c r="G148" s="4" t="s">
        <v>884</v>
      </c>
      <c r="H148" t="s">
        <v>134</v>
      </c>
      <c r="I148" t="s">
        <v>134</v>
      </c>
      <c r="J148" s="11" t="s">
        <v>134</v>
      </c>
    </row>
    <row r="149" spans="1:10" x14ac:dyDescent="0.3">
      <c r="A149" t="s">
        <v>615</v>
      </c>
      <c r="B149" t="s">
        <v>610</v>
      </c>
      <c r="C149" t="s">
        <v>602</v>
      </c>
      <c r="D149" t="s">
        <v>616</v>
      </c>
      <c r="E149" t="s">
        <v>616</v>
      </c>
      <c r="F149" s="3" t="s">
        <v>134</v>
      </c>
      <c r="G149" t="s">
        <v>617</v>
      </c>
      <c r="H149" t="s">
        <v>614</v>
      </c>
      <c r="I149" t="s">
        <v>134</v>
      </c>
      <c r="J149" s="11" t="s">
        <v>134</v>
      </c>
    </row>
    <row r="150" spans="1:10" x14ac:dyDescent="0.3">
      <c r="A150" t="s">
        <v>618</v>
      </c>
      <c r="B150" t="s">
        <v>134</v>
      </c>
      <c r="C150" s="4" t="s">
        <v>619</v>
      </c>
      <c r="D150" t="s">
        <v>620</v>
      </c>
      <c r="E150" t="s">
        <v>620</v>
      </c>
      <c r="F150" s="3">
        <v>731501735</v>
      </c>
      <c r="G150" s="4" t="s">
        <v>621</v>
      </c>
      <c r="H150" t="s">
        <v>134</v>
      </c>
      <c r="I150" t="s">
        <v>134</v>
      </c>
      <c r="J150" s="11" t="s">
        <v>134</v>
      </c>
    </row>
    <row r="151" spans="1:10" x14ac:dyDescent="0.3">
      <c r="A151" t="s">
        <v>622</v>
      </c>
      <c r="B151" t="s">
        <v>134</v>
      </c>
      <c r="C151" t="s">
        <v>623</v>
      </c>
      <c r="D151" t="s">
        <v>134</v>
      </c>
      <c r="E151" t="s">
        <v>624</v>
      </c>
      <c r="F151" s="3" t="s">
        <v>625</v>
      </c>
      <c r="G151" t="s">
        <v>626</v>
      </c>
      <c r="H151" t="s">
        <v>134</v>
      </c>
      <c r="I151" t="s">
        <v>134</v>
      </c>
      <c r="J151" s="11" t="s">
        <v>134</v>
      </c>
    </row>
    <row r="152" spans="1:10" x14ac:dyDescent="0.3">
      <c r="A152" t="s">
        <v>627</v>
      </c>
      <c r="B152" t="s">
        <v>628</v>
      </c>
      <c r="C152" t="s">
        <v>134</v>
      </c>
      <c r="D152" t="s">
        <v>134</v>
      </c>
      <c r="E152" t="s">
        <v>134</v>
      </c>
      <c r="F152" s="3" t="s">
        <v>134</v>
      </c>
      <c r="G152" t="s">
        <v>134</v>
      </c>
      <c r="H152" t="s">
        <v>134</v>
      </c>
      <c r="I152" t="s">
        <v>134</v>
      </c>
      <c r="J152" s="11" t="s">
        <v>134</v>
      </c>
    </row>
    <row r="153" spans="1:10" x14ac:dyDescent="0.3">
      <c r="A153" t="s">
        <v>629</v>
      </c>
      <c r="B153" t="s">
        <v>134</v>
      </c>
      <c r="C153" t="s">
        <v>134</v>
      </c>
      <c r="D153" t="s">
        <v>134</v>
      </c>
      <c r="E153" t="s">
        <v>134</v>
      </c>
      <c r="F153" s="3" t="s">
        <v>134</v>
      </c>
      <c r="G153" t="s">
        <v>134</v>
      </c>
      <c r="H153" t="s">
        <v>134</v>
      </c>
      <c r="I153" t="s">
        <v>134</v>
      </c>
      <c r="J153" s="11" t="s">
        <v>134</v>
      </c>
    </row>
    <row r="154" spans="1:10" x14ac:dyDescent="0.3">
      <c r="A154" t="s">
        <v>935</v>
      </c>
      <c r="B154" t="s">
        <v>134</v>
      </c>
      <c r="C154" t="s">
        <v>936</v>
      </c>
      <c r="D154" t="s">
        <v>937</v>
      </c>
      <c r="E154" t="s">
        <v>938</v>
      </c>
      <c r="F154" s="3" t="s">
        <v>409</v>
      </c>
      <c r="G154" s="4" t="s">
        <v>410</v>
      </c>
      <c r="H154" t="s">
        <v>939</v>
      </c>
      <c r="I154" t="s">
        <v>134</v>
      </c>
      <c r="J154" s="11" t="s">
        <v>134</v>
      </c>
    </row>
    <row r="155" spans="1:10" x14ac:dyDescent="0.3">
      <c r="A155" t="s">
        <v>630</v>
      </c>
      <c r="B155" t="s">
        <v>631</v>
      </c>
      <c r="C155" t="s">
        <v>632</v>
      </c>
      <c r="D155" t="s">
        <v>633</v>
      </c>
      <c r="E155" t="s">
        <v>634</v>
      </c>
      <c r="F155" s="3" t="s">
        <v>635</v>
      </c>
      <c r="G155" t="s">
        <v>636</v>
      </c>
      <c r="H155" t="s">
        <v>637</v>
      </c>
      <c r="I155" t="s">
        <v>134</v>
      </c>
      <c r="J155" s="11" t="s">
        <v>134</v>
      </c>
    </row>
    <row r="156" spans="1:10" x14ac:dyDescent="0.3">
      <c r="A156" t="s">
        <v>638</v>
      </c>
      <c r="B156" t="s">
        <v>639</v>
      </c>
      <c r="C156" t="s">
        <v>134</v>
      </c>
      <c r="D156" t="s">
        <v>134</v>
      </c>
      <c r="E156" t="s">
        <v>640</v>
      </c>
      <c r="F156" s="3" t="s">
        <v>641</v>
      </c>
      <c r="G156" t="s">
        <v>642</v>
      </c>
      <c r="H156" t="s">
        <v>134</v>
      </c>
      <c r="I156" t="s">
        <v>134</v>
      </c>
      <c r="J156" s="11" t="s">
        <v>134</v>
      </c>
    </row>
    <row r="157" spans="1:10" x14ac:dyDescent="0.3">
      <c r="A157" t="s">
        <v>643</v>
      </c>
      <c r="B157" t="s">
        <v>134</v>
      </c>
      <c r="C157" t="s">
        <v>134</v>
      </c>
      <c r="D157" t="s">
        <v>134</v>
      </c>
      <c r="E157" t="s">
        <v>644</v>
      </c>
      <c r="F157" s="3" t="s">
        <v>907</v>
      </c>
      <c r="G157" t="s">
        <v>645</v>
      </c>
      <c r="H157" t="s">
        <v>134</v>
      </c>
      <c r="I157" t="s">
        <v>134</v>
      </c>
      <c r="J157" s="11" t="s">
        <v>134</v>
      </c>
    </row>
    <row r="158" spans="1:10" x14ac:dyDescent="0.3">
      <c r="A158" t="s">
        <v>646</v>
      </c>
      <c r="B158" t="s">
        <v>134</v>
      </c>
      <c r="C158" t="s">
        <v>134</v>
      </c>
      <c r="D158" t="s">
        <v>134</v>
      </c>
      <c r="E158" t="s">
        <v>134</v>
      </c>
      <c r="F158" s="3" t="s">
        <v>134</v>
      </c>
      <c r="G158" t="s">
        <v>134</v>
      </c>
      <c r="H158" t="s">
        <v>134</v>
      </c>
      <c r="I158" t="s">
        <v>134</v>
      </c>
      <c r="J158" s="11" t="s">
        <v>134</v>
      </c>
    </row>
    <row r="159" spans="1:10" x14ac:dyDescent="0.3">
      <c r="A159" t="s">
        <v>999</v>
      </c>
      <c r="B159" t="s">
        <v>275</v>
      </c>
      <c r="C159" t="s">
        <v>271</v>
      </c>
      <c r="D159" t="s">
        <v>134</v>
      </c>
      <c r="E159" t="s">
        <v>276</v>
      </c>
      <c r="F159" s="3" t="s">
        <v>134</v>
      </c>
      <c r="G159" t="s">
        <v>277</v>
      </c>
      <c r="H159" t="s">
        <v>134</v>
      </c>
      <c r="I159" t="s">
        <v>134</v>
      </c>
      <c r="J159" s="11" t="s">
        <v>134</v>
      </c>
    </row>
    <row r="160" spans="1:10" x14ac:dyDescent="0.3">
      <c r="A160" t="s">
        <v>647</v>
      </c>
      <c r="B160" t="s">
        <v>648</v>
      </c>
      <c r="C160" t="s">
        <v>134</v>
      </c>
      <c r="D160" t="s">
        <v>134</v>
      </c>
      <c r="E160" t="s">
        <v>649</v>
      </c>
      <c r="F160" s="3">
        <v>707981571</v>
      </c>
      <c r="G160" t="s">
        <v>650</v>
      </c>
      <c r="H160" t="s">
        <v>134</v>
      </c>
      <c r="I160" t="s">
        <v>134</v>
      </c>
      <c r="J160" s="11" t="s">
        <v>134</v>
      </c>
    </row>
    <row r="161" spans="1:10" x14ac:dyDescent="0.3">
      <c r="A161" t="s">
        <v>874</v>
      </c>
      <c r="B161" t="s">
        <v>875</v>
      </c>
      <c r="C161" t="s">
        <v>134</v>
      </c>
      <c r="D161" t="s">
        <v>134</v>
      </c>
      <c r="E161" t="s">
        <v>876</v>
      </c>
      <c r="F161" s="3" t="s">
        <v>877</v>
      </c>
      <c r="G161" s="4" t="s">
        <v>878</v>
      </c>
      <c r="H161" t="s">
        <v>879</v>
      </c>
      <c r="I161" t="s">
        <v>134</v>
      </c>
      <c r="J161" s="11" t="s">
        <v>134</v>
      </c>
    </row>
    <row r="162" spans="1:10" x14ac:dyDescent="0.3">
      <c r="A162" t="s">
        <v>651</v>
      </c>
      <c r="B162" t="s">
        <v>652</v>
      </c>
      <c r="C162" t="s">
        <v>134</v>
      </c>
      <c r="D162" t="s">
        <v>134</v>
      </c>
      <c r="E162" t="s">
        <v>653</v>
      </c>
      <c r="F162" s="3" t="s">
        <v>654</v>
      </c>
      <c r="G162" t="s">
        <v>273</v>
      </c>
      <c r="H162" t="s">
        <v>134</v>
      </c>
      <c r="I162" t="s">
        <v>134</v>
      </c>
      <c r="J162" s="11" t="s">
        <v>134</v>
      </c>
    </row>
    <row r="163" spans="1:10" x14ac:dyDescent="0.3">
      <c r="A163" t="s">
        <v>838</v>
      </c>
      <c r="B163" t="s">
        <v>134</v>
      </c>
      <c r="C163" t="s">
        <v>839</v>
      </c>
      <c r="D163" t="s">
        <v>134</v>
      </c>
      <c r="E163" t="s">
        <v>840</v>
      </c>
      <c r="F163" s="3" t="s">
        <v>841</v>
      </c>
      <c r="G163" t="s">
        <v>839</v>
      </c>
      <c r="H163" t="s">
        <v>134</v>
      </c>
      <c r="I163" t="s">
        <v>134</v>
      </c>
      <c r="J163" s="11" t="s">
        <v>134</v>
      </c>
    </row>
    <row r="164" spans="1:10" x14ac:dyDescent="0.3">
      <c r="A164" t="s">
        <v>655</v>
      </c>
      <c r="B164" t="s">
        <v>656</v>
      </c>
      <c r="C164" t="s">
        <v>134</v>
      </c>
      <c r="D164">
        <v>1008</v>
      </c>
      <c r="E164" t="s">
        <v>657</v>
      </c>
      <c r="F164" s="3" t="s">
        <v>658</v>
      </c>
      <c r="G164" t="s">
        <v>659</v>
      </c>
      <c r="H164" t="s">
        <v>134</v>
      </c>
      <c r="I164" t="s">
        <v>134</v>
      </c>
      <c r="J164" s="11" t="s">
        <v>134</v>
      </c>
    </row>
    <row r="165" spans="1:10" x14ac:dyDescent="0.3">
      <c r="A165" t="s">
        <v>660</v>
      </c>
      <c r="B165" t="s">
        <v>134</v>
      </c>
      <c r="C165" t="s">
        <v>134</v>
      </c>
      <c r="D165" t="s">
        <v>134</v>
      </c>
      <c r="E165" t="s">
        <v>134</v>
      </c>
      <c r="F165" s="3" t="s">
        <v>134</v>
      </c>
      <c r="G165" t="s">
        <v>134</v>
      </c>
      <c r="H165" t="s">
        <v>134</v>
      </c>
      <c r="I165" t="s">
        <v>134</v>
      </c>
      <c r="J165" s="11" t="s">
        <v>134</v>
      </c>
    </row>
    <row r="166" spans="1:10" x14ac:dyDescent="0.3">
      <c r="A166" t="s">
        <v>661</v>
      </c>
      <c r="B166" t="s">
        <v>254</v>
      </c>
      <c r="C166" t="s">
        <v>134</v>
      </c>
      <c r="D166" t="s">
        <v>662</v>
      </c>
      <c r="E166" t="s">
        <v>186</v>
      </c>
      <c r="F166" s="3" t="s">
        <v>134</v>
      </c>
      <c r="G166" t="s">
        <v>663</v>
      </c>
      <c r="H166" t="s">
        <v>134</v>
      </c>
      <c r="I166" t="s">
        <v>134</v>
      </c>
      <c r="J166" s="11" t="s">
        <v>134</v>
      </c>
    </row>
    <row r="167" spans="1:10" x14ac:dyDescent="0.3">
      <c r="A167" t="s">
        <v>664</v>
      </c>
      <c r="B167" t="s">
        <v>254</v>
      </c>
      <c r="C167" t="s">
        <v>134</v>
      </c>
      <c r="D167" t="s">
        <v>662</v>
      </c>
      <c r="E167" t="s">
        <v>267</v>
      </c>
      <c r="F167" s="3">
        <v>738166102</v>
      </c>
      <c r="G167" s="4" t="s">
        <v>269</v>
      </c>
      <c r="H167" t="s">
        <v>134</v>
      </c>
      <c r="I167" t="s">
        <v>134</v>
      </c>
      <c r="J167" s="11" t="s">
        <v>134</v>
      </c>
    </row>
    <row r="168" spans="1:10" x14ac:dyDescent="0.3">
      <c r="A168" t="s">
        <v>665</v>
      </c>
      <c r="B168" t="s">
        <v>338</v>
      </c>
      <c r="C168" t="s">
        <v>134</v>
      </c>
      <c r="D168" t="s">
        <v>960</v>
      </c>
      <c r="E168" t="s">
        <v>666</v>
      </c>
      <c r="F168" s="3" t="s">
        <v>667</v>
      </c>
      <c r="G168" t="s">
        <v>668</v>
      </c>
      <c r="H168" t="s">
        <v>228</v>
      </c>
      <c r="I168" t="s">
        <v>134</v>
      </c>
      <c r="J168" s="11" t="s">
        <v>134</v>
      </c>
    </row>
    <row r="169" spans="1:10" x14ac:dyDescent="0.3">
      <c r="A169" t="s">
        <v>846</v>
      </c>
      <c r="B169" t="s">
        <v>254</v>
      </c>
      <c r="C169" t="s">
        <v>134</v>
      </c>
      <c r="D169" t="s">
        <v>465</v>
      </c>
      <c r="E169" t="s">
        <v>466</v>
      </c>
      <c r="F169" s="3" t="s">
        <v>475</v>
      </c>
      <c r="G169" t="s">
        <v>468</v>
      </c>
      <c r="H169" t="s">
        <v>134</v>
      </c>
      <c r="I169" t="s">
        <v>134</v>
      </c>
      <c r="J169" s="11" t="s">
        <v>134</v>
      </c>
    </row>
    <row r="170" spans="1:10" x14ac:dyDescent="0.3">
      <c r="A170" t="s">
        <v>669</v>
      </c>
      <c r="B170" t="s">
        <v>134</v>
      </c>
      <c r="C170" t="s">
        <v>134</v>
      </c>
      <c r="D170" t="s">
        <v>158</v>
      </c>
      <c r="I170" t="s">
        <v>134</v>
      </c>
      <c r="J170" s="11" t="s">
        <v>134</v>
      </c>
    </row>
    <row r="171" spans="1:10" x14ac:dyDescent="0.3">
      <c r="A171" t="s">
        <v>873</v>
      </c>
      <c r="B171" t="s">
        <v>134</v>
      </c>
      <c r="C171" t="s">
        <v>134</v>
      </c>
      <c r="D171" t="s">
        <v>134</v>
      </c>
      <c r="E171" t="s">
        <v>134</v>
      </c>
      <c r="F171" s="3" t="s">
        <v>134</v>
      </c>
      <c r="G171" t="s">
        <v>134</v>
      </c>
      <c r="H171" t="s">
        <v>134</v>
      </c>
      <c r="I171" t="s">
        <v>134</v>
      </c>
      <c r="J171" s="11" t="s">
        <v>134</v>
      </c>
    </row>
    <row r="172" spans="1:10" x14ac:dyDescent="0.3">
      <c r="A172" t="s">
        <v>670</v>
      </c>
      <c r="B172" t="s">
        <v>134</v>
      </c>
      <c r="C172" t="s">
        <v>134</v>
      </c>
      <c r="D172" t="s">
        <v>134</v>
      </c>
      <c r="E172" t="s">
        <v>671</v>
      </c>
      <c r="F172" s="3" t="s">
        <v>134</v>
      </c>
      <c r="G172" t="s">
        <v>134</v>
      </c>
      <c r="H172" t="s">
        <v>134</v>
      </c>
      <c r="I172" t="s">
        <v>134</v>
      </c>
      <c r="J172" s="11" t="s">
        <v>134</v>
      </c>
    </row>
    <row r="173" spans="1:10" x14ac:dyDescent="0.3">
      <c r="A173" t="s">
        <v>672</v>
      </c>
      <c r="B173" t="s">
        <v>134</v>
      </c>
      <c r="C173" t="s">
        <v>271</v>
      </c>
      <c r="D173" t="s">
        <v>134</v>
      </c>
      <c r="E173" t="s">
        <v>1018</v>
      </c>
      <c r="F173" s="3" t="s">
        <v>134</v>
      </c>
      <c r="G173" s="4" t="s">
        <v>839</v>
      </c>
      <c r="H173" t="s">
        <v>134</v>
      </c>
      <c r="I173" t="s">
        <v>134</v>
      </c>
      <c r="J173" s="11" t="s">
        <v>134</v>
      </c>
    </row>
    <row r="174" spans="1:10" x14ac:dyDescent="0.3">
      <c r="A174" t="s">
        <v>673</v>
      </c>
      <c r="B174" t="s">
        <v>134</v>
      </c>
      <c r="C174" t="s">
        <v>271</v>
      </c>
      <c r="D174" t="s">
        <v>134</v>
      </c>
      <c r="E174" t="s">
        <v>1018</v>
      </c>
      <c r="F174" s="3" t="s">
        <v>134</v>
      </c>
      <c r="G174" s="4" t="s">
        <v>839</v>
      </c>
      <c r="H174" t="s">
        <v>134</v>
      </c>
      <c r="I174" t="s">
        <v>134</v>
      </c>
      <c r="J174" s="11" t="s">
        <v>134</v>
      </c>
    </row>
    <row r="175" spans="1:10" x14ac:dyDescent="0.3">
      <c r="A175" t="s">
        <v>674</v>
      </c>
      <c r="B175" t="s">
        <v>134</v>
      </c>
      <c r="C175" t="s">
        <v>271</v>
      </c>
      <c r="D175" t="s">
        <v>134</v>
      </c>
      <c r="E175" t="s">
        <v>1018</v>
      </c>
      <c r="F175" s="3" t="s">
        <v>134</v>
      </c>
      <c r="G175" s="4" t="s">
        <v>839</v>
      </c>
      <c r="H175" t="s">
        <v>134</v>
      </c>
      <c r="I175" t="s">
        <v>134</v>
      </c>
      <c r="J175" s="11" t="s">
        <v>134</v>
      </c>
    </row>
    <row r="176" spans="1:10" x14ac:dyDescent="0.3">
      <c r="A176" t="s">
        <v>973</v>
      </c>
      <c r="B176" t="s">
        <v>134</v>
      </c>
      <c r="C176" t="s">
        <v>271</v>
      </c>
      <c r="D176" t="s">
        <v>134</v>
      </c>
      <c r="E176" t="s">
        <v>1018</v>
      </c>
      <c r="F176" s="3" t="s">
        <v>134</v>
      </c>
      <c r="G176" s="4" t="s">
        <v>839</v>
      </c>
      <c r="H176" t="s">
        <v>134</v>
      </c>
      <c r="I176" t="s">
        <v>134</v>
      </c>
      <c r="J176" s="11" t="s">
        <v>134</v>
      </c>
    </row>
    <row r="177" spans="1:10" x14ac:dyDescent="0.3">
      <c r="A177" t="s">
        <v>675</v>
      </c>
      <c r="B177" t="s">
        <v>134</v>
      </c>
      <c r="C177" t="s">
        <v>134</v>
      </c>
      <c r="D177" t="s">
        <v>134</v>
      </c>
      <c r="E177" t="s">
        <v>134</v>
      </c>
      <c r="F177" s="3" t="s">
        <v>134</v>
      </c>
      <c r="G177" t="s">
        <v>134</v>
      </c>
      <c r="H177" t="s">
        <v>134</v>
      </c>
      <c r="I177" t="s">
        <v>134</v>
      </c>
      <c r="J177" s="11" t="s">
        <v>134</v>
      </c>
    </row>
    <row r="178" spans="1:10" x14ac:dyDescent="0.3">
      <c r="A178" t="s">
        <v>676</v>
      </c>
      <c r="B178" t="s">
        <v>677</v>
      </c>
      <c r="C178" t="s">
        <v>134</v>
      </c>
      <c r="D178" t="s">
        <v>134</v>
      </c>
      <c r="E178" t="s">
        <v>678</v>
      </c>
      <c r="F178" s="3" t="s">
        <v>679</v>
      </c>
      <c r="G178" t="s">
        <v>680</v>
      </c>
      <c r="H178" t="s">
        <v>134</v>
      </c>
      <c r="I178" t="s">
        <v>134</v>
      </c>
      <c r="J178" s="11" t="s">
        <v>134</v>
      </c>
    </row>
    <row r="179" spans="1:10" x14ac:dyDescent="0.3">
      <c r="A179" t="s">
        <v>916</v>
      </c>
      <c r="B179" t="s">
        <v>917</v>
      </c>
      <c r="C179" t="s">
        <v>134</v>
      </c>
      <c r="D179" t="s">
        <v>134</v>
      </c>
      <c r="E179" t="s">
        <v>918</v>
      </c>
      <c r="F179" s="3" t="s">
        <v>921</v>
      </c>
      <c r="G179" s="4" t="s">
        <v>919</v>
      </c>
      <c r="H179" t="s">
        <v>920</v>
      </c>
      <c r="I179" t="s">
        <v>134</v>
      </c>
      <c r="J179" s="11" t="s">
        <v>134</v>
      </c>
    </row>
    <row r="180" spans="1:10" x14ac:dyDescent="0.3">
      <c r="A180" t="s">
        <v>681</v>
      </c>
      <c r="B180" t="s">
        <v>134</v>
      </c>
      <c r="C180" t="s">
        <v>134</v>
      </c>
      <c r="D180" t="s">
        <v>134</v>
      </c>
      <c r="E180" t="s">
        <v>134</v>
      </c>
      <c r="F180" s="3" t="s">
        <v>134</v>
      </c>
      <c r="G180" t="s">
        <v>134</v>
      </c>
      <c r="H180" t="s">
        <v>134</v>
      </c>
      <c r="I180" t="s">
        <v>134</v>
      </c>
      <c r="J180" s="11" t="s">
        <v>134</v>
      </c>
    </row>
    <row r="181" spans="1:10" x14ac:dyDescent="0.3">
      <c r="A181" t="s">
        <v>682</v>
      </c>
      <c r="B181" t="s">
        <v>134</v>
      </c>
      <c r="C181" t="s">
        <v>134</v>
      </c>
      <c r="D181" t="s">
        <v>134</v>
      </c>
      <c r="E181" t="s">
        <v>134</v>
      </c>
      <c r="F181" s="3" t="s">
        <v>134</v>
      </c>
      <c r="G181" t="s">
        <v>134</v>
      </c>
      <c r="H181" t="s">
        <v>134</v>
      </c>
      <c r="I181" t="s">
        <v>134</v>
      </c>
      <c r="J181" s="11" t="s">
        <v>134</v>
      </c>
    </row>
    <row r="182" spans="1:10" x14ac:dyDescent="0.3">
      <c r="A182" t="s">
        <v>683</v>
      </c>
      <c r="B182" t="s">
        <v>134</v>
      </c>
      <c r="C182" t="s">
        <v>134</v>
      </c>
      <c r="D182" t="s">
        <v>134</v>
      </c>
      <c r="E182" t="s">
        <v>134</v>
      </c>
      <c r="F182" s="3" t="s">
        <v>134</v>
      </c>
      <c r="G182" t="s">
        <v>134</v>
      </c>
      <c r="H182" t="s">
        <v>134</v>
      </c>
      <c r="I182" t="s">
        <v>134</v>
      </c>
      <c r="J182" s="11" t="s">
        <v>134</v>
      </c>
    </row>
    <row r="183" spans="1:10" x14ac:dyDescent="0.3">
      <c r="A183" t="s">
        <v>684</v>
      </c>
      <c r="B183" t="s">
        <v>134</v>
      </c>
      <c r="C183" t="s">
        <v>134</v>
      </c>
      <c r="D183" t="s">
        <v>134</v>
      </c>
      <c r="E183" t="s">
        <v>134</v>
      </c>
      <c r="F183" s="3" t="s">
        <v>134</v>
      </c>
      <c r="G183" t="s">
        <v>134</v>
      </c>
      <c r="H183" t="s">
        <v>134</v>
      </c>
      <c r="I183" t="s">
        <v>134</v>
      </c>
      <c r="J183" s="11" t="s">
        <v>134</v>
      </c>
    </row>
    <row r="184" spans="1:10" x14ac:dyDescent="0.3">
      <c r="A184" t="s">
        <v>685</v>
      </c>
      <c r="B184" t="s">
        <v>134</v>
      </c>
      <c r="C184" t="s">
        <v>134</v>
      </c>
      <c r="D184" t="s">
        <v>134</v>
      </c>
      <c r="E184" t="s">
        <v>134</v>
      </c>
      <c r="F184" s="3" t="s">
        <v>134</v>
      </c>
      <c r="G184" t="s">
        <v>134</v>
      </c>
      <c r="H184" t="s">
        <v>134</v>
      </c>
      <c r="I184" t="s">
        <v>134</v>
      </c>
      <c r="J184" s="11" t="s">
        <v>134</v>
      </c>
    </row>
    <row r="185" spans="1:10" x14ac:dyDescent="0.3">
      <c r="A185" t="s">
        <v>686</v>
      </c>
      <c r="B185" t="s">
        <v>134</v>
      </c>
      <c r="C185" t="s">
        <v>134</v>
      </c>
      <c r="D185" t="s">
        <v>134</v>
      </c>
      <c r="E185" t="s">
        <v>134</v>
      </c>
      <c r="F185" s="3" t="s">
        <v>134</v>
      </c>
      <c r="G185" t="s">
        <v>134</v>
      </c>
      <c r="H185" t="s">
        <v>134</v>
      </c>
      <c r="I185" t="s">
        <v>134</v>
      </c>
      <c r="J185" s="11" t="s">
        <v>134</v>
      </c>
    </row>
    <row r="186" spans="1:10" x14ac:dyDescent="0.3">
      <c r="A186" t="s">
        <v>687</v>
      </c>
      <c r="B186" t="s">
        <v>134</v>
      </c>
      <c r="C186" t="s">
        <v>134</v>
      </c>
      <c r="D186" t="s">
        <v>134</v>
      </c>
      <c r="E186" t="s">
        <v>134</v>
      </c>
      <c r="F186" s="3" t="s">
        <v>134</v>
      </c>
      <c r="G186" t="s">
        <v>134</v>
      </c>
      <c r="H186" t="s">
        <v>134</v>
      </c>
      <c r="I186" t="s">
        <v>134</v>
      </c>
      <c r="J186" s="11" t="s">
        <v>134</v>
      </c>
    </row>
    <row r="187" spans="1:10" x14ac:dyDescent="0.3">
      <c r="A187" t="s">
        <v>688</v>
      </c>
      <c r="B187" t="s">
        <v>134</v>
      </c>
      <c r="C187" t="s">
        <v>134</v>
      </c>
      <c r="D187" t="s">
        <v>134</v>
      </c>
      <c r="E187" t="s">
        <v>134</v>
      </c>
      <c r="F187" s="3" t="s">
        <v>134</v>
      </c>
      <c r="G187" t="s">
        <v>134</v>
      </c>
      <c r="H187" t="s">
        <v>134</v>
      </c>
      <c r="I187" t="s">
        <v>134</v>
      </c>
      <c r="J187" s="11" t="s">
        <v>134</v>
      </c>
    </row>
    <row r="188" spans="1:10" x14ac:dyDescent="0.3">
      <c r="A188" t="s">
        <v>895</v>
      </c>
      <c r="B188" t="s">
        <v>134</v>
      </c>
      <c r="C188" t="s">
        <v>134</v>
      </c>
      <c r="D188" t="s">
        <v>903</v>
      </c>
      <c r="E188" t="s">
        <v>804</v>
      </c>
      <c r="F188" s="3" t="s">
        <v>896</v>
      </c>
      <c r="G188" t="s">
        <v>806</v>
      </c>
      <c r="H188" t="s">
        <v>134</v>
      </c>
      <c r="I188" t="s">
        <v>134</v>
      </c>
      <c r="J188" s="11" t="s">
        <v>134</v>
      </c>
    </row>
    <row r="189" spans="1:10" x14ac:dyDescent="0.3">
      <c r="A189" t="s">
        <v>689</v>
      </c>
      <c r="B189" t="s">
        <v>134</v>
      </c>
      <c r="C189" t="s">
        <v>134</v>
      </c>
      <c r="D189" t="s">
        <v>903</v>
      </c>
      <c r="E189" t="s">
        <v>690</v>
      </c>
      <c r="F189" s="3" t="s">
        <v>691</v>
      </c>
      <c r="G189" t="s">
        <v>692</v>
      </c>
      <c r="H189" t="s">
        <v>134</v>
      </c>
      <c r="I189" t="s">
        <v>134</v>
      </c>
      <c r="J189" s="11" t="s">
        <v>134</v>
      </c>
    </row>
    <row r="190" spans="1:10" x14ac:dyDescent="0.3">
      <c r="A190" t="s">
        <v>693</v>
      </c>
      <c r="B190" t="s">
        <v>134</v>
      </c>
      <c r="C190" t="s">
        <v>134</v>
      </c>
      <c r="D190" t="s">
        <v>903</v>
      </c>
      <c r="E190" t="s">
        <v>694</v>
      </c>
      <c r="F190" s="3" t="s">
        <v>695</v>
      </c>
      <c r="G190" t="s">
        <v>696</v>
      </c>
      <c r="H190" t="s">
        <v>134</v>
      </c>
      <c r="I190" t="s">
        <v>134</v>
      </c>
      <c r="J190" s="11" t="s">
        <v>134</v>
      </c>
    </row>
    <row r="191" spans="1:10" x14ac:dyDescent="0.3">
      <c r="A191" t="s">
        <v>697</v>
      </c>
      <c r="B191" t="s">
        <v>134</v>
      </c>
      <c r="C191" t="s">
        <v>134</v>
      </c>
      <c r="D191" t="s">
        <v>903</v>
      </c>
      <c r="E191" t="s">
        <v>150</v>
      </c>
      <c r="F191" s="3" t="s">
        <v>698</v>
      </c>
      <c r="G191" t="s">
        <v>152</v>
      </c>
      <c r="H191" t="s">
        <v>134</v>
      </c>
      <c r="I191" t="s">
        <v>134</v>
      </c>
      <c r="J191" s="11" t="s">
        <v>134</v>
      </c>
    </row>
    <row r="192" spans="1:10" x14ac:dyDescent="0.3">
      <c r="A192" t="s">
        <v>902</v>
      </c>
      <c r="B192" t="s">
        <v>134</v>
      </c>
      <c r="C192" t="s">
        <v>134</v>
      </c>
      <c r="D192" t="s">
        <v>903</v>
      </c>
      <c r="E192" t="s">
        <v>904</v>
      </c>
      <c r="F192" s="3" t="s">
        <v>906</v>
      </c>
      <c r="G192" s="4" t="s">
        <v>905</v>
      </c>
      <c r="H192" t="s">
        <v>134</v>
      </c>
      <c r="I192" t="s">
        <v>134</v>
      </c>
      <c r="J192" s="11" t="s">
        <v>134</v>
      </c>
    </row>
    <row r="193" spans="1:10" x14ac:dyDescent="0.3">
      <c r="A193" t="s">
        <v>699</v>
      </c>
      <c r="B193" t="s">
        <v>134</v>
      </c>
      <c r="C193" t="s">
        <v>134</v>
      </c>
      <c r="D193" t="s">
        <v>903</v>
      </c>
      <c r="E193" t="s">
        <v>134</v>
      </c>
      <c r="F193" s="3" t="s">
        <v>134</v>
      </c>
      <c r="G193" t="s">
        <v>134</v>
      </c>
      <c r="H193" t="s">
        <v>134</v>
      </c>
      <c r="I193" t="s">
        <v>134</v>
      </c>
      <c r="J193" s="11" t="s">
        <v>134</v>
      </c>
    </row>
    <row r="194" spans="1:10" x14ac:dyDescent="0.3">
      <c r="A194" t="s">
        <v>852</v>
      </c>
      <c r="B194" t="s">
        <v>134</v>
      </c>
      <c r="C194" t="s">
        <v>134</v>
      </c>
      <c r="D194" t="s">
        <v>134</v>
      </c>
      <c r="E194" t="s">
        <v>134</v>
      </c>
      <c r="F194" s="3" t="s">
        <v>134</v>
      </c>
      <c r="G194" t="s">
        <v>134</v>
      </c>
      <c r="H194" t="s">
        <v>134</v>
      </c>
      <c r="I194" t="s">
        <v>134</v>
      </c>
      <c r="J194" s="11" t="s">
        <v>134</v>
      </c>
    </row>
    <row r="195" spans="1:10" x14ac:dyDescent="0.3">
      <c r="A195" t="s">
        <v>700</v>
      </c>
      <c r="B195" t="s">
        <v>134</v>
      </c>
      <c r="C195" t="s">
        <v>134</v>
      </c>
      <c r="D195" t="s">
        <v>134</v>
      </c>
      <c r="E195" t="s">
        <v>134</v>
      </c>
      <c r="F195" s="3" t="s">
        <v>134</v>
      </c>
      <c r="G195" t="s">
        <v>134</v>
      </c>
      <c r="H195" t="s">
        <v>134</v>
      </c>
      <c r="I195" t="s">
        <v>134</v>
      </c>
      <c r="J195" s="11" t="s">
        <v>134</v>
      </c>
    </row>
    <row r="196" spans="1:10" x14ac:dyDescent="0.3">
      <c r="A196" t="s">
        <v>974</v>
      </c>
      <c r="B196" t="s">
        <v>134</v>
      </c>
      <c r="C196" s="4" t="s">
        <v>1019</v>
      </c>
      <c r="D196" t="s">
        <v>134</v>
      </c>
      <c r="E196" t="s">
        <v>938</v>
      </c>
      <c r="F196" s="3" t="s">
        <v>409</v>
      </c>
      <c r="G196" s="4" t="s">
        <v>410</v>
      </c>
      <c r="H196" t="s">
        <v>1020</v>
      </c>
      <c r="I196" t="s">
        <v>134</v>
      </c>
      <c r="J196" s="11" t="s">
        <v>134</v>
      </c>
    </row>
    <row r="197" spans="1:10" x14ac:dyDescent="0.3">
      <c r="A197" t="s">
        <v>701</v>
      </c>
      <c r="B197" t="s">
        <v>134</v>
      </c>
      <c r="C197" t="s">
        <v>702</v>
      </c>
      <c r="D197" t="s">
        <v>134</v>
      </c>
      <c r="E197" t="s">
        <v>703</v>
      </c>
      <c r="F197" s="3" t="s">
        <v>134</v>
      </c>
      <c r="G197" t="s">
        <v>704</v>
      </c>
      <c r="H197" t="s">
        <v>134</v>
      </c>
      <c r="I197" t="s">
        <v>134</v>
      </c>
      <c r="J197" s="11" t="s">
        <v>134</v>
      </c>
    </row>
    <row r="198" spans="1:10" x14ac:dyDescent="0.3">
      <c r="A198" t="s">
        <v>705</v>
      </c>
      <c r="B198" t="s">
        <v>706</v>
      </c>
      <c r="C198" t="s">
        <v>707</v>
      </c>
      <c r="D198" t="s">
        <v>134</v>
      </c>
      <c r="E198" t="s">
        <v>708</v>
      </c>
      <c r="F198" s="3" t="s">
        <v>709</v>
      </c>
      <c r="G198" t="s">
        <v>707</v>
      </c>
      <c r="I198" t="s">
        <v>134</v>
      </c>
      <c r="J198" s="11" t="s">
        <v>134</v>
      </c>
    </row>
    <row r="199" spans="1:10" x14ac:dyDescent="0.3">
      <c r="A199" t="s">
        <v>825</v>
      </c>
      <c r="B199" t="s">
        <v>134</v>
      </c>
      <c r="C199" s="4" t="s">
        <v>826</v>
      </c>
      <c r="D199" t="s">
        <v>134</v>
      </c>
      <c r="E199" t="s">
        <v>827</v>
      </c>
      <c r="F199" s="3" t="s">
        <v>828</v>
      </c>
      <c r="G199" s="4" t="s">
        <v>826</v>
      </c>
      <c r="H199" t="s">
        <v>134</v>
      </c>
      <c r="I199" t="s">
        <v>134</v>
      </c>
      <c r="J199" s="11" t="s">
        <v>134</v>
      </c>
    </row>
    <row r="200" spans="1:10" x14ac:dyDescent="0.3">
      <c r="A200" t="s">
        <v>710</v>
      </c>
      <c r="B200" t="s">
        <v>134</v>
      </c>
      <c r="C200" t="s">
        <v>711</v>
      </c>
      <c r="D200" t="s">
        <v>712</v>
      </c>
      <c r="E200" t="s">
        <v>205</v>
      </c>
      <c r="F200" s="3" t="s">
        <v>134</v>
      </c>
      <c r="G200" t="s">
        <v>134</v>
      </c>
      <c r="H200" t="s">
        <v>713</v>
      </c>
      <c r="I200" t="s">
        <v>134</v>
      </c>
      <c r="J200" s="11" t="s">
        <v>134</v>
      </c>
    </row>
    <row r="201" spans="1:10" x14ac:dyDescent="0.3">
      <c r="A201" t="s">
        <v>714</v>
      </c>
      <c r="B201" t="s">
        <v>715</v>
      </c>
      <c r="C201" t="s">
        <v>134</v>
      </c>
      <c r="D201" t="s">
        <v>134</v>
      </c>
      <c r="E201" t="s">
        <v>134</v>
      </c>
      <c r="F201" s="3" t="s">
        <v>134</v>
      </c>
      <c r="G201" t="s">
        <v>134</v>
      </c>
      <c r="H201" t="s">
        <v>134</v>
      </c>
      <c r="I201" t="s">
        <v>134</v>
      </c>
      <c r="J201" s="11" t="s">
        <v>134</v>
      </c>
    </row>
    <row r="202" spans="1:10" x14ac:dyDescent="0.3">
      <c r="A202" t="s">
        <v>716</v>
      </c>
      <c r="B202" t="s">
        <v>717</v>
      </c>
      <c r="C202" t="s">
        <v>134</v>
      </c>
      <c r="D202" t="s">
        <v>718</v>
      </c>
      <c r="E202" t="s">
        <v>719</v>
      </c>
      <c r="F202" s="3" t="s">
        <v>720</v>
      </c>
      <c r="G202" t="s">
        <v>721</v>
      </c>
      <c r="H202" t="s">
        <v>134</v>
      </c>
      <c r="I202" t="s">
        <v>134</v>
      </c>
      <c r="J202" s="11" t="s">
        <v>134</v>
      </c>
    </row>
    <row r="203" spans="1:10" x14ac:dyDescent="0.3">
      <c r="A203" t="s">
        <v>869</v>
      </c>
      <c r="B203" t="s">
        <v>223</v>
      </c>
      <c r="C203" t="s">
        <v>134</v>
      </c>
      <c r="D203" t="s">
        <v>718</v>
      </c>
      <c r="E203" t="s">
        <v>870</v>
      </c>
      <c r="F203" s="3" t="s">
        <v>872</v>
      </c>
      <c r="G203" s="4" t="s">
        <v>871</v>
      </c>
      <c r="H203" t="s">
        <v>134</v>
      </c>
      <c r="I203" t="s">
        <v>134</v>
      </c>
      <c r="J203" s="11" t="s">
        <v>134</v>
      </c>
    </row>
    <row r="204" spans="1:10" x14ac:dyDescent="0.3">
      <c r="A204" t="s">
        <v>963</v>
      </c>
      <c r="B204" t="s">
        <v>964</v>
      </c>
      <c r="C204" s="4" t="s">
        <v>968</v>
      </c>
      <c r="D204" t="s">
        <v>966</v>
      </c>
      <c r="E204" t="s">
        <v>966</v>
      </c>
      <c r="F204" s="3" t="s">
        <v>967</v>
      </c>
      <c r="G204" s="4" t="s">
        <v>965</v>
      </c>
      <c r="H204">
        <v>8780014638</v>
      </c>
      <c r="I204" t="s">
        <v>134</v>
      </c>
      <c r="J204" s="11" t="s">
        <v>134</v>
      </c>
    </row>
    <row r="205" spans="1:10" x14ac:dyDescent="0.3">
      <c r="A205" t="s">
        <v>722</v>
      </c>
      <c r="B205" t="s">
        <v>134</v>
      </c>
      <c r="C205" t="s">
        <v>723</v>
      </c>
      <c r="D205" t="s">
        <v>724</v>
      </c>
      <c r="E205" t="s">
        <v>724</v>
      </c>
      <c r="F205" s="3" t="s">
        <v>725</v>
      </c>
      <c r="G205" t="s">
        <v>726</v>
      </c>
      <c r="H205" t="s">
        <v>134</v>
      </c>
      <c r="I205" t="s">
        <v>134</v>
      </c>
      <c r="J205" s="11" t="s">
        <v>134</v>
      </c>
    </row>
    <row r="206" spans="1:10" x14ac:dyDescent="0.3">
      <c r="A206" t="s">
        <v>727</v>
      </c>
      <c r="B206" t="s">
        <v>134</v>
      </c>
      <c r="C206" t="s">
        <v>728</v>
      </c>
      <c r="D206" t="s">
        <v>134</v>
      </c>
      <c r="E206" t="s">
        <v>729</v>
      </c>
      <c r="F206" s="3" t="s">
        <v>730</v>
      </c>
      <c r="G206" t="s">
        <v>728</v>
      </c>
      <c r="H206" t="s">
        <v>134</v>
      </c>
      <c r="I206" t="s">
        <v>134</v>
      </c>
      <c r="J206" s="11" t="s">
        <v>134</v>
      </c>
    </row>
    <row r="207" spans="1:10" x14ac:dyDescent="0.3">
      <c r="A207" t="s">
        <v>731</v>
      </c>
      <c r="B207" t="s">
        <v>732</v>
      </c>
      <c r="C207" t="s">
        <v>733</v>
      </c>
      <c r="D207" t="s">
        <v>134</v>
      </c>
      <c r="E207" t="s">
        <v>734</v>
      </c>
      <c r="F207" s="3" t="s">
        <v>735</v>
      </c>
      <c r="G207" t="s">
        <v>736</v>
      </c>
      <c r="H207" t="s">
        <v>134</v>
      </c>
      <c r="I207" t="s">
        <v>134</v>
      </c>
      <c r="J207" s="11" t="s">
        <v>134</v>
      </c>
    </row>
    <row r="208" spans="1:10" x14ac:dyDescent="0.3">
      <c r="A208" t="s">
        <v>737</v>
      </c>
      <c r="B208" t="s">
        <v>134</v>
      </c>
      <c r="C208" t="s">
        <v>134</v>
      </c>
      <c r="D208" t="s">
        <v>134</v>
      </c>
      <c r="E208" t="s">
        <v>134</v>
      </c>
      <c r="F208" s="3" t="s">
        <v>134</v>
      </c>
      <c r="G208" t="s">
        <v>134</v>
      </c>
      <c r="H208" t="s">
        <v>134</v>
      </c>
      <c r="I208" t="s">
        <v>134</v>
      </c>
      <c r="J208" s="11" t="s">
        <v>134</v>
      </c>
    </row>
    <row r="209" spans="1:10" x14ac:dyDescent="0.3">
      <c r="A209" t="s">
        <v>738</v>
      </c>
      <c r="B209" t="s">
        <v>739</v>
      </c>
      <c r="C209" t="s">
        <v>134</v>
      </c>
      <c r="D209" t="s">
        <v>134</v>
      </c>
      <c r="E209" t="s">
        <v>740</v>
      </c>
      <c r="F209" s="3" t="s">
        <v>134</v>
      </c>
      <c r="G209" t="s">
        <v>741</v>
      </c>
      <c r="H209" t="s">
        <v>134</v>
      </c>
      <c r="I209" t="s">
        <v>134</v>
      </c>
      <c r="J209" s="11" t="s">
        <v>134</v>
      </c>
    </row>
    <row r="210" spans="1:10" x14ac:dyDescent="0.3">
      <c r="A210" t="s">
        <v>742</v>
      </c>
      <c r="B210" t="s">
        <v>743</v>
      </c>
      <c r="C210" t="s">
        <v>744</v>
      </c>
      <c r="D210" t="s">
        <v>745</v>
      </c>
      <c r="E210" t="s">
        <v>746</v>
      </c>
      <c r="F210" s="3" t="s">
        <v>747</v>
      </c>
      <c r="G210" t="s">
        <v>748</v>
      </c>
      <c r="H210" t="s">
        <v>749</v>
      </c>
      <c r="I210" t="s">
        <v>134</v>
      </c>
      <c r="J210" s="11" t="s">
        <v>134</v>
      </c>
    </row>
    <row r="211" spans="1:10" x14ac:dyDescent="0.3">
      <c r="A211" t="s">
        <v>750</v>
      </c>
      <c r="B211" t="s">
        <v>134</v>
      </c>
      <c r="C211" t="s">
        <v>751</v>
      </c>
      <c r="D211" t="s">
        <v>134</v>
      </c>
      <c r="E211" t="s">
        <v>752</v>
      </c>
      <c r="F211" s="3" t="s">
        <v>753</v>
      </c>
      <c r="G211" t="s">
        <v>754</v>
      </c>
      <c r="H211" t="s">
        <v>134</v>
      </c>
      <c r="I211" t="s">
        <v>134</v>
      </c>
      <c r="J211" s="11" t="s">
        <v>134</v>
      </c>
    </row>
    <row r="212" spans="1:10" x14ac:dyDescent="0.3">
      <c r="A212" t="s">
        <v>894</v>
      </c>
      <c r="B212" t="s">
        <v>134</v>
      </c>
      <c r="C212" t="s">
        <v>134</v>
      </c>
      <c r="D212" t="s">
        <v>134</v>
      </c>
      <c r="E212" t="s">
        <v>134</v>
      </c>
      <c r="F212" s="3" t="s">
        <v>134</v>
      </c>
      <c r="G212" t="s">
        <v>134</v>
      </c>
      <c r="H212" t="s">
        <v>134</v>
      </c>
      <c r="I212" t="s">
        <v>134</v>
      </c>
      <c r="J212" s="11" t="s">
        <v>134</v>
      </c>
    </row>
    <row r="213" spans="1:10" x14ac:dyDescent="0.3">
      <c r="A213" t="s">
        <v>940</v>
      </c>
      <c r="B213" t="s">
        <v>944</v>
      </c>
      <c r="C213" t="s">
        <v>134</v>
      </c>
      <c r="D213" t="s">
        <v>134</v>
      </c>
      <c r="E213" t="s">
        <v>941</v>
      </c>
      <c r="F213" s="3" t="s">
        <v>942</v>
      </c>
      <c r="G213" t="s">
        <v>943</v>
      </c>
      <c r="H213">
        <v>8176053166</v>
      </c>
      <c r="I213" t="s">
        <v>134</v>
      </c>
      <c r="J213" s="11" t="s">
        <v>134</v>
      </c>
    </row>
    <row r="214" spans="1:10" x14ac:dyDescent="0.3">
      <c r="A214" t="s">
        <v>946</v>
      </c>
      <c r="B214" t="s">
        <v>944</v>
      </c>
      <c r="C214" t="s">
        <v>134</v>
      </c>
      <c r="D214" t="s">
        <v>947</v>
      </c>
      <c r="E214" t="s">
        <v>948</v>
      </c>
      <c r="F214" s="3" t="s">
        <v>949</v>
      </c>
      <c r="G214" s="4" t="s">
        <v>950</v>
      </c>
      <c r="H214">
        <v>8176053166</v>
      </c>
      <c r="I214" t="s">
        <v>134</v>
      </c>
      <c r="J214" s="11" t="s">
        <v>134</v>
      </c>
    </row>
    <row r="215" spans="1:10" x14ac:dyDescent="0.3">
      <c r="A215" t="s">
        <v>755</v>
      </c>
      <c r="B215" t="s">
        <v>134</v>
      </c>
      <c r="C215" t="s">
        <v>756</v>
      </c>
      <c r="D215" t="s">
        <v>134</v>
      </c>
      <c r="E215" t="s">
        <v>757</v>
      </c>
      <c r="F215" s="3" t="s">
        <v>758</v>
      </c>
      <c r="G215" t="s">
        <v>759</v>
      </c>
      <c r="H215" t="s">
        <v>134</v>
      </c>
      <c r="I215" t="s">
        <v>134</v>
      </c>
      <c r="J215" s="11" t="s">
        <v>134</v>
      </c>
    </row>
    <row r="216" spans="1:10" x14ac:dyDescent="0.3">
      <c r="A216" t="s">
        <v>760</v>
      </c>
      <c r="B216" t="s">
        <v>134</v>
      </c>
      <c r="C216" t="s">
        <v>761</v>
      </c>
      <c r="D216" t="s">
        <v>134</v>
      </c>
      <c r="E216" t="s">
        <v>762</v>
      </c>
      <c r="F216" s="3" t="s">
        <v>763</v>
      </c>
      <c r="G216" t="s">
        <v>764</v>
      </c>
      <c r="H216" t="s">
        <v>134</v>
      </c>
      <c r="I216" t="s">
        <v>134</v>
      </c>
      <c r="J216" s="11" t="s">
        <v>134</v>
      </c>
    </row>
    <row r="217" spans="1:10" x14ac:dyDescent="0.3">
      <c r="A217" t="s">
        <v>928</v>
      </c>
      <c r="B217" t="s">
        <v>134</v>
      </c>
      <c r="C217" t="s">
        <v>929</v>
      </c>
      <c r="D217" t="s">
        <v>930</v>
      </c>
      <c r="E217" t="s">
        <v>931</v>
      </c>
      <c r="F217" s="3" t="s">
        <v>932</v>
      </c>
      <c r="G217" t="s">
        <v>933</v>
      </c>
      <c r="H217" t="s">
        <v>934</v>
      </c>
      <c r="I217" t="s">
        <v>134</v>
      </c>
      <c r="J217" s="11" t="s">
        <v>134</v>
      </c>
    </row>
    <row r="218" spans="1:10" x14ac:dyDescent="0.3">
      <c r="A218" t="s">
        <v>765</v>
      </c>
      <c r="B218" t="s">
        <v>134</v>
      </c>
      <c r="C218" t="s">
        <v>766</v>
      </c>
      <c r="D218" t="s">
        <v>134</v>
      </c>
      <c r="E218" t="s">
        <v>767</v>
      </c>
      <c r="F218" s="3" t="s">
        <v>768</v>
      </c>
      <c r="G218" t="s">
        <v>769</v>
      </c>
      <c r="H218" t="s">
        <v>134</v>
      </c>
      <c r="I218" t="s">
        <v>134</v>
      </c>
      <c r="J218" s="11" t="s">
        <v>134</v>
      </c>
    </row>
    <row r="219" spans="1:10" x14ac:dyDescent="0.3">
      <c r="A219" t="s">
        <v>770</v>
      </c>
      <c r="B219" t="s">
        <v>134</v>
      </c>
      <c r="C219" t="s">
        <v>771</v>
      </c>
      <c r="D219" t="s">
        <v>772</v>
      </c>
      <c r="E219" t="s">
        <v>773</v>
      </c>
      <c r="F219" s="3" t="s">
        <v>774</v>
      </c>
      <c r="G219" t="s">
        <v>775</v>
      </c>
      <c r="H219" t="s">
        <v>134</v>
      </c>
      <c r="I219" t="s">
        <v>134</v>
      </c>
      <c r="J219" s="11" t="s">
        <v>134</v>
      </c>
    </row>
    <row r="220" spans="1:10" x14ac:dyDescent="0.3">
      <c r="A220" t="s">
        <v>912</v>
      </c>
      <c r="B220" t="s">
        <v>134</v>
      </c>
      <c r="C220" t="s">
        <v>913</v>
      </c>
      <c r="D220" t="s">
        <v>134</v>
      </c>
      <c r="E220" t="s">
        <v>914</v>
      </c>
      <c r="F220" s="3" t="s">
        <v>915</v>
      </c>
      <c r="G220" s="4" t="s">
        <v>913</v>
      </c>
      <c r="H220" t="s">
        <v>134</v>
      </c>
      <c r="I220" t="s">
        <v>134</v>
      </c>
      <c r="J220" s="11" t="s">
        <v>134</v>
      </c>
    </row>
    <row r="221" spans="1:10" x14ac:dyDescent="0.3">
      <c r="A221" t="s">
        <v>776</v>
      </c>
      <c r="B221" t="s">
        <v>134</v>
      </c>
      <c r="C221" t="s">
        <v>134</v>
      </c>
      <c r="D221" t="s">
        <v>134</v>
      </c>
      <c r="E221" t="s">
        <v>134</v>
      </c>
      <c r="F221" s="3" t="s">
        <v>134</v>
      </c>
      <c r="G221" t="s">
        <v>134</v>
      </c>
      <c r="H221" t="s">
        <v>134</v>
      </c>
      <c r="I221" t="s">
        <v>134</v>
      </c>
      <c r="J221" s="11" t="s">
        <v>134</v>
      </c>
    </row>
    <row r="222" spans="1:10" x14ac:dyDescent="0.3">
      <c r="A222" t="s">
        <v>777</v>
      </c>
      <c r="B222" t="s">
        <v>778</v>
      </c>
      <c r="C222" t="s">
        <v>779</v>
      </c>
      <c r="D222" t="s">
        <v>780</v>
      </c>
      <c r="E222" t="s">
        <v>781</v>
      </c>
      <c r="F222" s="3" t="s">
        <v>782</v>
      </c>
      <c r="G222" t="s">
        <v>783</v>
      </c>
      <c r="H222" t="s">
        <v>784</v>
      </c>
      <c r="I222" t="s">
        <v>134</v>
      </c>
      <c r="J222" s="11" t="s">
        <v>134</v>
      </c>
    </row>
    <row r="223" spans="1:10" x14ac:dyDescent="0.3">
      <c r="A223" t="s">
        <v>829</v>
      </c>
      <c r="B223" t="s">
        <v>134</v>
      </c>
      <c r="C223" t="s">
        <v>134</v>
      </c>
      <c r="D223" t="s">
        <v>134</v>
      </c>
      <c r="E223" t="s">
        <v>134</v>
      </c>
      <c r="F223" s="3" t="s">
        <v>134</v>
      </c>
      <c r="G223" t="s">
        <v>134</v>
      </c>
      <c r="H223" t="s">
        <v>134</v>
      </c>
      <c r="I223" t="s">
        <v>134</v>
      </c>
      <c r="J223" s="11" t="s">
        <v>134</v>
      </c>
    </row>
    <row r="224" spans="1:10" x14ac:dyDescent="0.3">
      <c r="A224" t="s">
        <v>785</v>
      </c>
      <c r="B224" t="s">
        <v>338</v>
      </c>
      <c r="C224" t="s">
        <v>134</v>
      </c>
      <c r="D224" t="s">
        <v>465</v>
      </c>
      <c r="E224" t="s">
        <v>505</v>
      </c>
      <c r="F224" s="3" t="s">
        <v>134</v>
      </c>
      <c r="G224" t="s">
        <v>506</v>
      </c>
      <c r="H224" t="s">
        <v>134</v>
      </c>
      <c r="I224" t="s">
        <v>134</v>
      </c>
      <c r="J224" s="11" t="s">
        <v>134</v>
      </c>
    </row>
    <row r="225" spans="1:10" x14ac:dyDescent="0.3">
      <c r="A225" t="s">
        <v>786</v>
      </c>
      <c r="B225" t="s">
        <v>787</v>
      </c>
      <c r="C225" t="s">
        <v>134</v>
      </c>
      <c r="D225" t="s">
        <v>134</v>
      </c>
      <c r="E225" t="s">
        <v>788</v>
      </c>
      <c r="F225" s="3" t="s">
        <v>789</v>
      </c>
      <c r="G225" t="s">
        <v>790</v>
      </c>
      <c r="H225" t="s">
        <v>791</v>
      </c>
      <c r="I225" t="s">
        <v>134</v>
      </c>
      <c r="J225" s="11" t="s">
        <v>134</v>
      </c>
    </row>
    <row r="226" spans="1:10" x14ac:dyDescent="0.3">
      <c r="A226" t="s">
        <v>792</v>
      </c>
      <c r="B226" t="s">
        <v>793</v>
      </c>
      <c r="C226" t="s">
        <v>134</v>
      </c>
      <c r="D226">
        <v>2007</v>
      </c>
      <c r="E226" t="s">
        <v>794</v>
      </c>
      <c r="F226" s="3" t="s">
        <v>795</v>
      </c>
      <c r="G226" t="s">
        <v>796</v>
      </c>
      <c r="H226" t="s">
        <v>134</v>
      </c>
      <c r="I226" t="s">
        <v>134</v>
      </c>
      <c r="J226" s="11" t="s">
        <v>134</v>
      </c>
    </row>
    <row r="227" spans="1:10" x14ac:dyDescent="0.3">
      <c r="A227" t="s">
        <v>797</v>
      </c>
      <c r="B227" t="s">
        <v>798</v>
      </c>
      <c r="C227" t="s">
        <v>134</v>
      </c>
      <c r="D227" t="s">
        <v>134</v>
      </c>
      <c r="E227" t="s">
        <v>799</v>
      </c>
      <c r="F227" s="3" t="s">
        <v>134</v>
      </c>
      <c r="G227" t="s">
        <v>134</v>
      </c>
      <c r="H227" t="s">
        <v>134</v>
      </c>
      <c r="I227" t="s">
        <v>134</v>
      </c>
      <c r="J227" s="11" t="s">
        <v>134</v>
      </c>
    </row>
    <row r="228" spans="1:10" x14ac:dyDescent="0.3">
      <c r="A228" t="s">
        <v>800</v>
      </c>
      <c r="B228" t="s">
        <v>134</v>
      </c>
      <c r="C228" t="s">
        <v>134</v>
      </c>
      <c r="D228" t="s">
        <v>134</v>
      </c>
      <c r="E228" t="s">
        <v>134</v>
      </c>
      <c r="F228" s="3" t="s">
        <v>134</v>
      </c>
      <c r="G228" t="s">
        <v>134</v>
      </c>
      <c r="H228" t="s">
        <v>134</v>
      </c>
      <c r="I228" t="s">
        <v>134</v>
      </c>
      <c r="J228" s="11" t="s">
        <v>134</v>
      </c>
    </row>
    <row r="229" spans="1:10" x14ac:dyDescent="0.3">
      <c r="A229" t="s">
        <v>801</v>
      </c>
      <c r="B229" t="s">
        <v>134</v>
      </c>
      <c r="C229" t="s">
        <v>134</v>
      </c>
      <c r="D229" t="s">
        <v>134</v>
      </c>
      <c r="E229" t="s">
        <v>802</v>
      </c>
      <c r="F229" s="3" t="s">
        <v>134</v>
      </c>
      <c r="G229" t="s">
        <v>134</v>
      </c>
      <c r="H229" t="s">
        <v>134</v>
      </c>
      <c r="I229" t="s">
        <v>134</v>
      </c>
      <c r="J229" s="11" t="s">
        <v>134</v>
      </c>
    </row>
    <row r="230" spans="1:10" x14ac:dyDescent="0.3">
      <c r="A230" t="s">
        <v>803</v>
      </c>
      <c r="B230" t="s">
        <v>134</v>
      </c>
      <c r="C230" t="s">
        <v>134</v>
      </c>
      <c r="D230" t="s">
        <v>134</v>
      </c>
      <c r="E230" t="s">
        <v>804</v>
      </c>
      <c r="F230" s="3" t="s">
        <v>805</v>
      </c>
      <c r="G230" t="s">
        <v>806</v>
      </c>
      <c r="H230" t="s">
        <v>134</v>
      </c>
      <c r="I230" t="s">
        <v>134</v>
      </c>
      <c r="J230" s="11" t="s">
        <v>134</v>
      </c>
    </row>
    <row r="231" spans="1:10" x14ac:dyDescent="0.3">
      <c r="A231" t="s">
        <v>1027</v>
      </c>
      <c r="B231" t="s">
        <v>134</v>
      </c>
      <c r="C231" t="s">
        <v>134</v>
      </c>
      <c r="D231" t="s">
        <v>134</v>
      </c>
      <c r="E231" t="s">
        <v>134</v>
      </c>
      <c r="F231" s="3" t="s">
        <v>134</v>
      </c>
      <c r="G231" t="s">
        <v>134</v>
      </c>
      <c r="H231" t="s">
        <v>134</v>
      </c>
      <c r="I231" t="s">
        <v>134</v>
      </c>
      <c r="J231" s="11" t="s">
        <v>134</v>
      </c>
    </row>
    <row r="232" spans="1:10" x14ac:dyDescent="0.3">
      <c r="B232" t="s">
        <v>134</v>
      </c>
      <c r="C232" t="s">
        <v>134</v>
      </c>
      <c r="D232" t="s">
        <v>134</v>
      </c>
      <c r="E232" t="s">
        <v>134</v>
      </c>
      <c r="F232" s="3" t="s">
        <v>134</v>
      </c>
      <c r="G232" t="s">
        <v>134</v>
      </c>
      <c r="H232" t="s">
        <v>134</v>
      </c>
      <c r="I232" t="s">
        <v>134</v>
      </c>
      <c r="J232" s="11" t="s">
        <v>134</v>
      </c>
    </row>
    <row r="233" spans="1:10" x14ac:dyDescent="0.3">
      <c r="B233" t="s">
        <v>134</v>
      </c>
      <c r="C233" t="s">
        <v>134</v>
      </c>
      <c r="D233" t="s">
        <v>134</v>
      </c>
      <c r="E233" t="s">
        <v>134</v>
      </c>
      <c r="F233" s="3" t="s">
        <v>134</v>
      </c>
      <c r="G233" t="s">
        <v>134</v>
      </c>
      <c r="H233" t="s">
        <v>134</v>
      </c>
      <c r="I233" t="s">
        <v>134</v>
      </c>
      <c r="J233" s="11" t="s">
        <v>134</v>
      </c>
    </row>
    <row r="234" spans="1:10" x14ac:dyDescent="0.3">
      <c r="B234" t="s">
        <v>134</v>
      </c>
      <c r="C234" t="s">
        <v>134</v>
      </c>
      <c r="D234" t="s">
        <v>134</v>
      </c>
      <c r="E234" t="s">
        <v>134</v>
      </c>
      <c r="F234" s="3" t="s">
        <v>134</v>
      </c>
      <c r="G234" t="s">
        <v>134</v>
      </c>
      <c r="H234" t="s">
        <v>134</v>
      </c>
      <c r="I234" t="s">
        <v>134</v>
      </c>
      <c r="J234" s="11" t="s">
        <v>134</v>
      </c>
    </row>
    <row r="235" spans="1:10" x14ac:dyDescent="0.3">
      <c r="B235" t="s">
        <v>134</v>
      </c>
      <c r="C235" t="s">
        <v>134</v>
      </c>
      <c r="D235" t="s">
        <v>134</v>
      </c>
      <c r="E235" t="s">
        <v>134</v>
      </c>
      <c r="F235" s="3" t="s">
        <v>134</v>
      </c>
      <c r="G235" t="s">
        <v>134</v>
      </c>
      <c r="H235" t="s">
        <v>134</v>
      </c>
      <c r="I235" t="s">
        <v>134</v>
      </c>
      <c r="J235" s="11" t="s">
        <v>134</v>
      </c>
    </row>
    <row r="236" spans="1:10" x14ac:dyDescent="0.3">
      <c r="B236" t="s">
        <v>134</v>
      </c>
      <c r="C236" t="s">
        <v>134</v>
      </c>
      <c r="D236" t="s">
        <v>134</v>
      </c>
      <c r="E236" t="s">
        <v>134</v>
      </c>
      <c r="F236" s="3" t="s">
        <v>134</v>
      </c>
      <c r="G236" t="s">
        <v>134</v>
      </c>
      <c r="H236" t="s">
        <v>134</v>
      </c>
      <c r="I236" t="s">
        <v>134</v>
      </c>
      <c r="J236" s="11" t="s">
        <v>134</v>
      </c>
    </row>
    <row r="237" spans="1:10" x14ac:dyDescent="0.3">
      <c r="B237" t="s">
        <v>134</v>
      </c>
      <c r="C237" t="s">
        <v>134</v>
      </c>
      <c r="D237" t="s">
        <v>134</v>
      </c>
      <c r="E237" t="s">
        <v>134</v>
      </c>
      <c r="F237" s="3" t="s">
        <v>134</v>
      </c>
      <c r="G237" t="s">
        <v>134</v>
      </c>
      <c r="H237" t="s">
        <v>134</v>
      </c>
      <c r="I237" t="s">
        <v>134</v>
      </c>
      <c r="J237" s="11" t="s">
        <v>134</v>
      </c>
    </row>
    <row r="238" spans="1:10" x14ac:dyDescent="0.3">
      <c r="B238" t="s">
        <v>134</v>
      </c>
      <c r="C238" t="s">
        <v>134</v>
      </c>
      <c r="D238" t="s">
        <v>134</v>
      </c>
      <c r="E238" t="s">
        <v>134</v>
      </c>
      <c r="F238" s="3" t="s">
        <v>134</v>
      </c>
      <c r="G238" t="s">
        <v>134</v>
      </c>
      <c r="H238" t="s">
        <v>134</v>
      </c>
      <c r="I238" t="s">
        <v>134</v>
      </c>
      <c r="J238" s="11" t="s">
        <v>134</v>
      </c>
    </row>
    <row r="239" spans="1:10" x14ac:dyDescent="0.3">
      <c r="B239" t="s">
        <v>134</v>
      </c>
      <c r="C239" t="s">
        <v>134</v>
      </c>
      <c r="D239" t="s">
        <v>134</v>
      </c>
      <c r="E239" t="s">
        <v>134</v>
      </c>
      <c r="F239" s="3" t="s">
        <v>134</v>
      </c>
      <c r="G239" t="s">
        <v>134</v>
      </c>
      <c r="H239" t="s">
        <v>134</v>
      </c>
      <c r="I239" t="s">
        <v>134</v>
      </c>
      <c r="J239" s="11" t="s">
        <v>134</v>
      </c>
    </row>
    <row r="240" spans="1:10" x14ac:dyDescent="0.3">
      <c r="B240" t="s">
        <v>134</v>
      </c>
      <c r="C240" t="s">
        <v>134</v>
      </c>
      <c r="D240" t="s">
        <v>134</v>
      </c>
      <c r="E240" t="s">
        <v>134</v>
      </c>
      <c r="F240" s="3" t="s">
        <v>134</v>
      </c>
      <c r="G240" t="s">
        <v>134</v>
      </c>
      <c r="H240" t="s">
        <v>134</v>
      </c>
      <c r="I240" t="s">
        <v>134</v>
      </c>
      <c r="J240" s="11" t="s">
        <v>134</v>
      </c>
    </row>
    <row r="241" spans="2:10" x14ac:dyDescent="0.3">
      <c r="B241" t="s">
        <v>134</v>
      </c>
      <c r="C241" t="s">
        <v>134</v>
      </c>
      <c r="D241" t="s">
        <v>134</v>
      </c>
      <c r="E241" t="s">
        <v>134</v>
      </c>
      <c r="F241" s="3" t="s">
        <v>134</v>
      </c>
      <c r="G241" t="s">
        <v>134</v>
      </c>
      <c r="H241" t="s">
        <v>134</v>
      </c>
      <c r="I241" t="s">
        <v>134</v>
      </c>
      <c r="J241" s="11" t="s">
        <v>134</v>
      </c>
    </row>
    <row r="242" spans="2:10" x14ac:dyDescent="0.3">
      <c r="B242" t="s">
        <v>134</v>
      </c>
      <c r="C242" t="s">
        <v>134</v>
      </c>
      <c r="D242" t="s">
        <v>134</v>
      </c>
      <c r="E242" t="s">
        <v>134</v>
      </c>
      <c r="F242" s="3" t="s">
        <v>134</v>
      </c>
      <c r="G242" t="s">
        <v>134</v>
      </c>
      <c r="H242" t="s">
        <v>134</v>
      </c>
      <c r="I242" t="s">
        <v>134</v>
      </c>
      <c r="J242" s="11" t="s">
        <v>134</v>
      </c>
    </row>
    <row r="243" spans="2:10" x14ac:dyDescent="0.3">
      <c r="B243" t="s">
        <v>134</v>
      </c>
      <c r="C243" t="s">
        <v>134</v>
      </c>
      <c r="D243" t="s">
        <v>134</v>
      </c>
      <c r="E243" t="s">
        <v>134</v>
      </c>
      <c r="F243" s="3" t="s">
        <v>134</v>
      </c>
      <c r="G243" t="s">
        <v>134</v>
      </c>
      <c r="H243" t="s">
        <v>134</v>
      </c>
      <c r="I243" t="s">
        <v>134</v>
      </c>
      <c r="J243" s="11" t="s">
        <v>134</v>
      </c>
    </row>
    <row r="244" spans="2:10" x14ac:dyDescent="0.3">
      <c r="B244" t="s">
        <v>134</v>
      </c>
      <c r="C244" t="s">
        <v>134</v>
      </c>
      <c r="D244" t="s">
        <v>134</v>
      </c>
      <c r="E244" t="s">
        <v>134</v>
      </c>
      <c r="F244" s="3" t="s">
        <v>134</v>
      </c>
      <c r="G244" t="s">
        <v>134</v>
      </c>
      <c r="H244" t="s">
        <v>134</v>
      </c>
      <c r="I244" t="s">
        <v>134</v>
      </c>
      <c r="J244" s="11" t="s">
        <v>134</v>
      </c>
    </row>
    <row r="245" spans="2:10" x14ac:dyDescent="0.3">
      <c r="B245" t="s">
        <v>134</v>
      </c>
      <c r="C245" t="s">
        <v>134</v>
      </c>
      <c r="D245" t="s">
        <v>134</v>
      </c>
      <c r="E245" t="s">
        <v>134</v>
      </c>
      <c r="F245" s="3" t="s">
        <v>134</v>
      </c>
      <c r="G245" t="s">
        <v>134</v>
      </c>
      <c r="H245" t="s">
        <v>134</v>
      </c>
      <c r="I245" t="s">
        <v>134</v>
      </c>
      <c r="J245" s="11" t="s">
        <v>134</v>
      </c>
    </row>
    <row r="246" spans="2:10" x14ac:dyDescent="0.3">
      <c r="B246" t="s">
        <v>134</v>
      </c>
      <c r="C246" t="s">
        <v>134</v>
      </c>
      <c r="D246" t="s">
        <v>134</v>
      </c>
      <c r="E246" t="s">
        <v>134</v>
      </c>
      <c r="F246" s="3" t="s">
        <v>134</v>
      </c>
      <c r="G246" t="s">
        <v>134</v>
      </c>
      <c r="H246" t="s">
        <v>134</v>
      </c>
      <c r="I246" t="s">
        <v>134</v>
      </c>
      <c r="J246" s="11" t="s">
        <v>134</v>
      </c>
    </row>
    <row r="247" spans="2:10" x14ac:dyDescent="0.3">
      <c r="B247" t="s">
        <v>134</v>
      </c>
      <c r="C247" t="s">
        <v>134</v>
      </c>
      <c r="D247" t="s">
        <v>134</v>
      </c>
      <c r="E247" t="s">
        <v>134</v>
      </c>
      <c r="F247" s="3" t="s">
        <v>134</v>
      </c>
      <c r="G247" t="s">
        <v>134</v>
      </c>
      <c r="H247" t="s">
        <v>134</v>
      </c>
      <c r="I247" t="s">
        <v>134</v>
      </c>
      <c r="J247" s="11" t="s">
        <v>134</v>
      </c>
    </row>
    <row r="248" spans="2:10" x14ac:dyDescent="0.3">
      <c r="B248" t="s">
        <v>134</v>
      </c>
      <c r="C248" t="s">
        <v>134</v>
      </c>
      <c r="D248" t="s">
        <v>134</v>
      </c>
      <c r="E248" t="s">
        <v>134</v>
      </c>
      <c r="F248" s="3" t="s">
        <v>134</v>
      </c>
      <c r="G248" t="s">
        <v>134</v>
      </c>
      <c r="H248" t="s">
        <v>134</v>
      </c>
      <c r="I248" t="s">
        <v>134</v>
      </c>
      <c r="J248" s="11" t="s">
        <v>134</v>
      </c>
    </row>
    <row r="249" spans="2:10" x14ac:dyDescent="0.3">
      <c r="B249" t="s">
        <v>134</v>
      </c>
      <c r="C249" t="s">
        <v>134</v>
      </c>
      <c r="D249" t="s">
        <v>134</v>
      </c>
      <c r="E249" t="s">
        <v>134</v>
      </c>
      <c r="F249" s="3" t="s">
        <v>134</v>
      </c>
      <c r="G249" t="s">
        <v>134</v>
      </c>
      <c r="H249" t="s">
        <v>134</v>
      </c>
      <c r="I249" t="s">
        <v>134</v>
      </c>
      <c r="J249" s="11" t="s">
        <v>134</v>
      </c>
    </row>
    <row r="250" spans="2:10" x14ac:dyDescent="0.3">
      <c r="B250" t="s">
        <v>134</v>
      </c>
      <c r="C250" t="s">
        <v>134</v>
      </c>
      <c r="D250" t="s">
        <v>134</v>
      </c>
      <c r="E250" t="s">
        <v>134</v>
      </c>
      <c r="F250" s="3" t="s">
        <v>134</v>
      </c>
      <c r="G250" t="s">
        <v>134</v>
      </c>
      <c r="H250" t="s">
        <v>134</v>
      </c>
      <c r="I250" t="s">
        <v>134</v>
      </c>
      <c r="J250" s="11" t="s">
        <v>134</v>
      </c>
    </row>
    <row r="251" spans="2:10" x14ac:dyDescent="0.3">
      <c r="B251" t="s">
        <v>134</v>
      </c>
      <c r="C251" t="s">
        <v>134</v>
      </c>
      <c r="D251" t="s">
        <v>134</v>
      </c>
      <c r="E251" t="s">
        <v>134</v>
      </c>
      <c r="F251" s="3" t="s">
        <v>134</v>
      </c>
      <c r="G251" t="s">
        <v>134</v>
      </c>
      <c r="H251" t="s">
        <v>134</v>
      </c>
      <c r="I251" t="s">
        <v>134</v>
      </c>
      <c r="J251" s="11" t="s">
        <v>134</v>
      </c>
    </row>
    <row r="252" spans="2:10" x14ac:dyDescent="0.3">
      <c r="B252" t="s">
        <v>134</v>
      </c>
      <c r="C252" t="s">
        <v>134</v>
      </c>
      <c r="D252" t="s">
        <v>134</v>
      </c>
      <c r="E252" t="s">
        <v>134</v>
      </c>
      <c r="F252" s="3" t="s">
        <v>134</v>
      </c>
      <c r="G252" t="s">
        <v>134</v>
      </c>
      <c r="H252" t="s">
        <v>134</v>
      </c>
      <c r="I252" t="s">
        <v>134</v>
      </c>
      <c r="J252" s="11" t="s">
        <v>134</v>
      </c>
    </row>
    <row r="253" spans="2:10" x14ac:dyDescent="0.3">
      <c r="B253" t="s">
        <v>134</v>
      </c>
      <c r="C253" t="s">
        <v>134</v>
      </c>
      <c r="D253" t="s">
        <v>134</v>
      </c>
      <c r="E253" t="s">
        <v>134</v>
      </c>
      <c r="F253" s="3" t="s">
        <v>134</v>
      </c>
      <c r="G253" t="s">
        <v>134</v>
      </c>
      <c r="H253" t="s">
        <v>134</v>
      </c>
      <c r="I253" t="s">
        <v>134</v>
      </c>
      <c r="J253" s="11" t="s">
        <v>134</v>
      </c>
    </row>
    <row r="254" spans="2:10" x14ac:dyDescent="0.3">
      <c r="B254" t="s">
        <v>134</v>
      </c>
      <c r="C254" t="s">
        <v>134</v>
      </c>
      <c r="D254" t="s">
        <v>134</v>
      </c>
      <c r="E254" t="s">
        <v>134</v>
      </c>
      <c r="F254" s="3" t="s">
        <v>134</v>
      </c>
      <c r="G254" t="s">
        <v>134</v>
      </c>
      <c r="H254" t="s">
        <v>134</v>
      </c>
      <c r="I254" t="s">
        <v>134</v>
      </c>
      <c r="J254" s="11" t="s">
        <v>134</v>
      </c>
    </row>
    <row r="255" spans="2:10" x14ac:dyDescent="0.3">
      <c r="B255" t="s">
        <v>134</v>
      </c>
      <c r="C255" t="s">
        <v>134</v>
      </c>
      <c r="D255" t="s">
        <v>134</v>
      </c>
      <c r="E255" t="s">
        <v>134</v>
      </c>
      <c r="F255" s="3" t="s">
        <v>134</v>
      </c>
      <c r="G255" t="s">
        <v>134</v>
      </c>
      <c r="H255" t="s">
        <v>134</v>
      </c>
      <c r="I255" t="s">
        <v>134</v>
      </c>
      <c r="J255" s="11" t="s">
        <v>134</v>
      </c>
    </row>
    <row r="256" spans="2:10" x14ac:dyDescent="0.3">
      <c r="B256" t="s">
        <v>134</v>
      </c>
      <c r="C256" t="s">
        <v>134</v>
      </c>
      <c r="D256" t="s">
        <v>134</v>
      </c>
      <c r="E256" t="s">
        <v>134</v>
      </c>
      <c r="F256" s="3" t="s">
        <v>134</v>
      </c>
      <c r="G256" t="s">
        <v>134</v>
      </c>
      <c r="H256" t="s">
        <v>134</v>
      </c>
      <c r="I256" t="s">
        <v>134</v>
      </c>
      <c r="J256" s="11" t="s">
        <v>134</v>
      </c>
    </row>
    <row r="257" spans="2:10" x14ac:dyDescent="0.3">
      <c r="B257" t="s">
        <v>134</v>
      </c>
      <c r="C257" t="s">
        <v>134</v>
      </c>
      <c r="D257" t="s">
        <v>134</v>
      </c>
      <c r="E257" t="s">
        <v>134</v>
      </c>
      <c r="F257" s="3" t="s">
        <v>134</v>
      </c>
      <c r="G257" t="s">
        <v>134</v>
      </c>
      <c r="H257" t="s">
        <v>134</v>
      </c>
      <c r="I257" t="s">
        <v>134</v>
      </c>
      <c r="J257" s="11" t="s">
        <v>134</v>
      </c>
    </row>
    <row r="258" spans="2:10" x14ac:dyDescent="0.3">
      <c r="B258" t="s">
        <v>134</v>
      </c>
      <c r="C258" t="s">
        <v>134</v>
      </c>
      <c r="D258" t="s">
        <v>134</v>
      </c>
      <c r="E258" t="s">
        <v>134</v>
      </c>
      <c r="F258" s="3" t="s">
        <v>134</v>
      </c>
      <c r="G258" t="s">
        <v>134</v>
      </c>
      <c r="H258" t="s">
        <v>134</v>
      </c>
      <c r="I258" t="s">
        <v>134</v>
      </c>
      <c r="J258" s="11" t="s">
        <v>134</v>
      </c>
    </row>
    <row r="259" spans="2:10" x14ac:dyDescent="0.3">
      <c r="B259" t="s">
        <v>134</v>
      </c>
      <c r="C259" t="s">
        <v>134</v>
      </c>
      <c r="D259" t="s">
        <v>134</v>
      </c>
      <c r="E259" t="s">
        <v>134</v>
      </c>
      <c r="F259" s="3" t="s">
        <v>134</v>
      </c>
      <c r="G259" t="s">
        <v>134</v>
      </c>
      <c r="H259" t="s">
        <v>134</v>
      </c>
      <c r="I259" t="s">
        <v>134</v>
      </c>
      <c r="J259" s="11" t="s">
        <v>134</v>
      </c>
    </row>
    <row r="260" spans="2:10" x14ac:dyDescent="0.3">
      <c r="B260" t="s">
        <v>134</v>
      </c>
      <c r="C260" t="s">
        <v>134</v>
      </c>
      <c r="D260" t="s">
        <v>134</v>
      </c>
      <c r="E260" t="s">
        <v>134</v>
      </c>
      <c r="F260" s="3" t="s">
        <v>134</v>
      </c>
      <c r="G260" t="s">
        <v>134</v>
      </c>
      <c r="H260" t="s">
        <v>134</v>
      </c>
      <c r="I260" t="s">
        <v>134</v>
      </c>
      <c r="J260" s="11" t="s">
        <v>134</v>
      </c>
    </row>
    <row r="261" spans="2:10" x14ac:dyDescent="0.3">
      <c r="B261" t="s">
        <v>134</v>
      </c>
      <c r="C261" t="s">
        <v>134</v>
      </c>
      <c r="D261" t="s">
        <v>134</v>
      </c>
      <c r="E261" t="s">
        <v>134</v>
      </c>
      <c r="F261" s="3" t="s">
        <v>134</v>
      </c>
      <c r="G261" t="s">
        <v>134</v>
      </c>
      <c r="H261" t="s">
        <v>134</v>
      </c>
      <c r="I261" t="s">
        <v>134</v>
      </c>
      <c r="J261" s="11" t="s">
        <v>134</v>
      </c>
    </row>
    <row r="262" spans="2:10" x14ac:dyDescent="0.3">
      <c r="B262" t="s">
        <v>134</v>
      </c>
      <c r="C262" t="s">
        <v>134</v>
      </c>
      <c r="D262" t="s">
        <v>134</v>
      </c>
      <c r="E262" t="s">
        <v>134</v>
      </c>
      <c r="F262" s="3" t="s">
        <v>134</v>
      </c>
      <c r="G262" t="s">
        <v>134</v>
      </c>
      <c r="H262" t="s">
        <v>134</v>
      </c>
      <c r="I262" t="s">
        <v>134</v>
      </c>
      <c r="J262" s="11" t="s">
        <v>134</v>
      </c>
    </row>
    <row r="263" spans="2:10" x14ac:dyDescent="0.3">
      <c r="B263" t="s">
        <v>134</v>
      </c>
      <c r="C263" t="s">
        <v>134</v>
      </c>
      <c r="D263" t="s">
        <v>134</v>
      </c>
      <c r="E263" t="s">
        <v>134</v>
      </c>
      <c r="F263" s="3" t="s">
        <v>134</v>
      </c>
      <c r="G263" t="s">
        <v>134</v>
      </c>
      <c r="H263" t="s">
        <v>134</v>
      </c>
      <c r="I263" t="s">
        <v>134</v>
      </c>
      <c r="J263" s="11" t="s">
        <v>134</v>
      </c>
    </row>
    <row r="264" spans="2:10" x14ac:dyDescent="0.3">
      <c r="B264" t="s">
        <v>134</v>
      </c>
      <c r="C264" t="s">
        <v>134</v>
      </c>
      <c r="D264" t="s">
        <v>134</v>
      </c>
      <c r="E264" t="s">
        <v>134</v>
      </c>
      <c r="F264" s="3" t="s">
        <v>134</v>
      </c>
      <c r="G264" t="s">
        <v>134</v>
      </c>
      <c r="H264" t="s">
        <v>134</v>
      </c>
      <c r="I264" t="s">
        <v>134</v>
      </c>
      <c r="J264" s="11" t="s">
        <v>134</v>
      </c>
    </row>
    <row r="265" spans="2:10" x14ac:dyDescent="0.3">
      <c r="B265" t="s">
        <v>134</v>
      </c>
      <c r="C265" t="s">
        <v>134</v>
      </c>
      <c r="D265" t="s">
        <v>134</v>
      </c>
      <c r="E265" t="s">
        <v>134</v>
      </c>
      <c r="F265" s="3" t="s">
        <v>134</v>
      </c>
      <c r="G265" t="s">
        <v>134</v>
      </c>
      <c r="H265" t="s">
        <v>134</v>
      </c>
      <c r="I265" t="s">
        <v>134</v>
      </c>
      <c r="J265" s="11" t="s">
        <v>134</v>
      </c>
    </row>
    <row r="266" spans="2:10" x14ac:dyDescent="0.3">
      <c r="B266" t="s">
        <v>134</v>
      </c>
      <c r="C266" t="s">
        <v>134</v>
      </c>
      <c r="D266" t="s">
        <v>134</v>
      </c>
      <c r="E266" t="s">
        <v>134</v>
      </c>
      <c r="F266" s="3" t="s">
        <v>134</v>
      </c>
      <c r="G266" t="s">
        <v>134</v>
      </c>
      <c r="H266" t="s">
        <v>134</v>
      </c>
      <c r="I266" t="s">
        <v>134</v>
      </c>
      <c r="J266" s="11" t="s">
        <v>134</v>
      </c>
    </row>
    <row r="267" spans="2:10" x14ac:dyDescent="0.3">
      <c r="B267" t="s">
        <v>134</v>
      </c>
      <c r="C267" t="s">
        <v>134</v>
      </c>
      <c r="D267" t="s">
        <v>134</v>
      </c>
      <c r="E267" t="s">
        <v>134</v>
      </c>
      <c r="F267" s="3" t="s">
        <v>134</v>
      </c>
      <c r="G267" t="s">
        <v>134</v>
      </c>
      <c r="H267" t="s">
        <v>134</v>
      </c>
      <c r="I267" t="s">
        <v>134</v>
      </c>
      <c r="J267" s="11" t="s">
        <v>134</v>
      </c>
    </row>
    <row r="268" spans="2:10" x14ac:dyDescent="0.3">
      <c r="B268" t="s">
        <v>134</v>
      </c>
      <c r="C268" t="s">
        <v>134</v>
      </c>
      <c r="D268" t="s">
        <v>134</v>
      </c>
      <c r="E268" t="s">
        <v>134</v>
      </c>
      <c r="F268" s="3" t="s">
        <v>134</v>
      </c>
      <c r="G268" t="s">
        <v>134</v>
      </c>
      <c r="H268" t="s">
        <v>134</v>
      </c>
      <c r="I268" t="s">
        <v>134</v>
      </c>
      <c r="J268" s="11" t="s">
        <v>134</v>
      </c>
    </row>
    <row r="269" spans="2:10" x14ac:dyDescent="0.3">
      <c r="B269" t="s">
        <v>134</v>
      </c>
      <c r="C269" t="s">
        <v>134</v>
      </c>
      <c r="D269" t="s">
        <v>134</v>
      </c>
      <c r="E269" t="s">
        <v>134</v>
      </c>
      <c r="F269" s="3" t="s">
        <v>134</v>
      </c>
      <c r="G269" t="s">
        <v>134</v>
      </c>
      <c r="H269" t="s">
        <v>134</v>
      </c>
      <c r="I269" t="s">
        <v>134</v>
      </c>
      <c r="J269" s="11" t="s">
        <v>134</v>
      </c>
    </row>
    <row r="270" spans="2:10" x14ac:dyDescent="0.3">
      <c r="B270" t="s">
        <v>134</v>
      </c>
      <c r="C270" t="s">
        <v>134</v>
      </c>
      <c r="D270" t="s">
        <v>134</v>
      </c>
      <c r="E270" t="s">
        <v>134</v>
      </c>
      <c r="F270" s="3" t="s">
        <v>134</v>
      </c>
      <c r="G270" t="s">
        <v>134</v>
      </c>
      <c r="H270" t="s">
        <v>134</v>
      </c>
      <c r="I270" t="s">
        <v>134</v>
      </c>
      <c r="J270" s="11" t="s">
        <v>134</v>
      </c>
    </row>
    <row r="271" spans="2:10" x14ac:dyDescent="0.3">
      <c r="B271" t="s">
        <v>134</v>
      </c>
      <c r="C271" t="s">
        <v>134</v>
      </c>
      <c r="D271" t="s">
        <v>134</v>
      </c>
      <c r="E271" t="s">
        <v>134</v>
      </c>
      <c r="F271" s="3" t="s">
        <v>134</v>
      </c>
      <c r="G271" t="s">
        <v>134</v>
      </c>
      <c r="H271" t="s">
        <v>134</v>
      </c>
      <c r="I271" t="s">
        <v>134</v>
      </c>
      <c r="J271" s="11" t="s">
        <v>134</v>
      </c>
    </row>
    <row r="272" spans="2:10" x14ac:dyDescent="0.3">
      <c r="B272" t="s">
        <v>134</v>
      </c>
      <c r="C272" t="s">
        <v>134</v>
      </c>
      <c r="D272" t="s">
        <v>134</v>
      </c>
      <c r="E272" t="s">
        <v>134</v>
      </c>
      <c r="F272" s="3" t="s">
        <v>134</v>
      </c>
      <c r="G272" t="s">
        <v>134</v>
      </c>
      <c r="H272" t="s">
        <v>134</v>
      </c>
      <c r="I272" t="s">
        <v>134</v>
      </c>
      <c r="J272" s="11" t="s">
        <v>134</v>
      </c>
    </row>
    <row r="273" spans="2:10" x14ac:dyDescent="0.3">
      <c r="B273" t="s">
        <v>134</v>
      </c>
      <c r="C273" t="s">
        <v>134</v>
      </c>
      <c r="D273" t="s">
        <v>134</v>
      </c>
      <c r="E273" t="s">
        <v>134</v>
      </c>
      <c r="F273" s="3" t="s">
        <v>134</v>
      </c>
      <c r="G273" t="s">
        <v>134</v>
      </c>
      <c r="H273" t="s">
        <v>134</v>
      </c>
      <c r="I273" t="s">
        <v>134</v>
      </c>
      <c r="J273" s="11" t="s">
        <v>134</v>
      </c>
    </row>
    <row r="274" spans="2:10" x14ac:dyDescent="0.3">
      <c r="B274" t="s">
        <v>134</v>
      </c>
      <c r="C274" t="s">
        <v>134</v>
      </c>
      <c r="D274" t="s">
        <v>134</v>
      </c>
      <c r="E274" t="s">
        <v>134</v>
      </c>
      <c r="F274" s="3" t="s">
        <v>134</v>
      </c>
      <c r="G274" t="s">
        <v>134</v>
      </c>
      <c r="H274" t="s">
        <v>134</v>
      </c>
      <c r="I274" t="s">
        <v>134</v>
      </c>
      <c r="J274" s="11" t="s">
        <v>134</v>
      </c>
    </row>
    <row r="275" spans="2:10" x14ac:dyDescent="0.3">
      <c r="B275" t="s">
        <v>134</v>
      </c>
      <c r="C275" t="s">
        <v>134</v>
      </c>
      <c r="D275" t="s">
        <v>134</v>
      </c>
      <c r="E275" t="s">
        <v>134</v>
      </c>
      <c r="F275" s="3" t="s">
        <v>134</v>
      </c>
      <c r="G275" t="s">
        <v>134</v>
      </c>
      <c r="H275" t="s">
        <v>134</v>
      </c>
      <c r="I275" t="s">
        <v>134</v>
      </c>
      <c r="J275" s="11" t="s">
        <v>134</v>
      </c>
    </row>
    <row r="276" spans="2:10" x14ac:dyDescent="0.3">
      <c r="B276" t="s">
        <v>134</v>
      </c>
      <c r="C276" t="s">
        <v>134</v>
      </c>
      <c r="D276" t="s">
        <v>134</v>
      </c>
      <c r="E276" t="s">
        <v>134</v>
      </c>
      <c r="F276" s="3" t="s">
        <v>134</v>
      </c>
      <c r="G276" t="s">
        <v>134</v>
      </c>
      <c r="H276" t="s">
        <v>134</v>
      </c>
      <c r="I276" t="s">
        <v>134</v>
      </c>
      <c r="J276" s="11" t="s">
        <v>134</v>
      </c>
    </row>
    <row r="277" spans="2:10" x14ac:dyDescent="0.3">
      <c r="B277" t="s">
        <v>134</v>
      </c>
      <c r="C277" t="s">
        <v>134</v>
      </c>
      <c r="D277" t="s">
        <v>134</v>
      </c>
      <c r="E277" t="s">
        <v>134</v>
      </c>
      <c r="F277" s="3" t="s">
        <v>134</v>
      </c>
      <c r="G277" t="s">
        <v>134</v>
      </c>
      <c r="H277" t="s">
        <v>134</v>
      </c>
      <c r="I277" t="s">
        <v>134</v>
      </c>
      <c r="J277" s="11" t="s">
        <v>134</v>
      </c>
    </row>
    <row r="278" spans="2:10" x14ac:dyDescent="0.3">
      <c r="B278" t="s">
        <v>134</v>
      </c>
      <c r="C278" t="s">
        <v>134</v>
      </c>
      <c r="D278" t="s">
        <v>134</v>
      </c>
      <c r="E278" t="s">
        <v>134</v>
      </c>
      <c r="F278" s="3" t="s">
        <v>134</v>
      </c>
      <c r="G278" t="s">
        <v>134</v>
      </c>
      <c r="H278" t="s">
        <v>134</v>
      </c>
      <c r="I278" t="s">
        <v>134</v>
      </c>
      <c r="J278" s="11" t="s">
        <v>134</v>
      </c>
    </row>
    <row r="279" spans="2:10" x14ac:dyDescent="0.3">
      <c r="B279" t="s">
        <v>134</v>
      </c>
      <c r="C279" t="s">
        <v>134</v>
      </c>
      <c r="D279" t="s">
        <v>134</v>
      </c>
      <c r="E279" t="s">
        <v>134</v>
      </c>
      <c r="F279" s="3" t="s">
        <v>134</v>
      </c>
      <c r="G279" t="s">
        <v>134</v>
      </c>
      <c r="H279" t="s">
        <v>134</v>
      </c>
      <c r="I279" t="s">
        <v>134</v>
      </c>
      <c r="J279" s="11" t="s">
        <v>134</v>
      </c>
    </row>
    <row r="280" spans="2:10" x14ac:dyDescent="0.3">
      <c r="B280" t="s">
        <v>134</v>
      </c>
      <c r="C280" t="s">
        <v>134</v>
      </c>
      <c r="D280" t="s">
        <v>134</v>
      </c>
      <c r="E280" t="s">
        <v>134</v>
      </c>
      <c r="F280" s="3" t="s">
        <v>134</v>
      </c>
      <c r="G280" t="s">
        <v>134</v>
      </c>
      <c r="H280" t="s">
        <v>134</v>
      </c>
      <c r="I280" t="s">
        <v>134</v>
      </c>
      <c r="J280" s="11" t="s">
        <v>134</v>
      </c>
    </row>
    <row r="281" spans="2:10" x14ac:dyDescent="0.3">
      <c r="B281" t="s">
        <v>134</v>
      </c>
      <c r="C281" t="s">
        <v>134</v>
      </c>
      <c r="D281" t="s">
        <v>134</v>
      </c>
      <c r="E281" t="s">
        <v>134</v>
      </c>
      <c r="F281" s="3" t="s">
        <v>134</v>
      </c>
      <c r="G281" t="s">
        <v>134</v>
      </c>
      <c r="H281" t="s">
        <v>134</v>
      </c>
      <c r="I281" t="s">
        <v>134</v>
      </c>
      <c r="J281" s="11" t="s">
        <v>134</v>
      </c>
    </row>
    <row r="282" spans="2:10" x14ac:dyDescent="0.3">
      <c r="B282" t="s">
        <v>134</v>
      </c>
      <c r="C282" t="s">
        <v>134</v>
      </c>
      <c r="D282" t="s">
        <v>134</v>
      </c>
      <c r="E282" t="s">
        <v>134</v>
      </c>
      <c r="F282" s="3" t="s">
        <v>134</v>
      </c>
      <c r="G282" t="s">
        <v>134</v>
      </c>
      <c r="H282" t="s">
        <v>134</v>
      </c>
      <c r="I282" t="s">
        <v>134</v>
      </c>
      <c r="J282" s="11" t="s">
        <v>134</v>
      </c>
    </row>
    <row r="283" spans="2:10" x14ac:dyDescent="0.3">
      <c r="B283" t="s">
        <v>134</v>
      </c>
      <c r="C283" t="s">
        <v>134</v>
      </c>
      <c r="D283" t="s">
        <v>134</v>
      </c>
      <c r="E283" t="s">
        <v>134</v>
      </c>
      <c r="F283" s="3" t="s">
        <v>134</v>
      </c>
      <c r="G283" t="s">
        <v>134</v>
      </c>
      <c r="H283" t="s">
        <v>134</v>
      </c>
      <c r="I283" t="s">
        <v>134</v>
      </c>
      <c r="J283" s="11" t="s">
        <v>134</v>
      </c>
    </row>
    <row r="284" spans="2:10" x14ac:dyDescent="0.3">
      <c r="B284" t="s">
        <v>134</v>
      </c>
      <c r="C284" t="s">
        <v>134</v>
      </c>
      <c r="D284" t="s">
        <v>134</v>
      </c>
      <c r="E284" t="s">
        <v>134</v>
      </c>
      <c r="F284" s="3" t="s">
        <v>134</v>
      </c>
      <c r="G284" t="s">
        <v>134</v>
      </c>
      <c r="H284" t="s">
        <v>134</v>
      </c>
      <c r="I284" t="s">
        <v>134</v>
      </c>
      <c r="J284" s="11" t="s">
        <v>134</v>
      </c>
    </row>
    <row r="285" spans="2:10" x14ac:dyDescent="0.3">
      <c r="B285" t="s">
        <v>134</v>
      </c>
      <c r="C285" t="s">
        <v>134</v>
      </c>
      <c r="D285" t="s">
        <v>134</v>
      </c>
      <c r="E285" t="s">
        <v>134</v>
      </c>
      <c r="F285" s="3" t="s">
        <v>134</v>
      </c>
      <c r="G285" t="s">
        <v>134</v>
      </c>
      <c r="H285" t="s">
        <v>134</v>
      </c>
      <c r="I285" t="s">
        <v>134</v>
      </c>
      <c r="J285" s="11" t="s">
        <v>134</v>
      </c>
    </row>
    <row r="286" spans="2:10" x14ac:dyDescent="0.3">
      <c r="B286" t="s">
        <v>134</v>
      </c>
      <c r="C286" t="s">
        <v>134</v>
      </c>
      <c r="D286" t="s">
        <v>134</v>
      </c>
      <c r="E286" t="s">
        <v>134</v>
      </c>
      <c r="F286" s="3" t="s">
        <v>134</v>
      </c>
      <c r="G286" t="s">
        <v>134</v>
      </c>
      <c r="H286" t="s">
        <v>134</v>
      </c>
      <c r="I286" t="s">
        <v>134</v>
      </c>
      <c r="J286" s="11" t="s">
        <v>134</v>
      </c>
    </row>
    <row r="287" spans="2:10" x14ac:dyDescent="0.3">
      <c r="B287" t="s">
        <v>134</v>
      </c>
      <c r="C287" t="s">
        <v>134</v>
      </c>
      <c r="D287" t="s">
        <v>134</v>
      </c>
      <c r="E287" t="s">
        <v>134</v>
      </c>
      <c r="F287" s="3" t="s">
        <v>134</v>
      </c>
      <c r="G287" t="s">
        <v>134</v>
      </c>
      <c r="H287" t="s">
        <v>134</v>
      </c>
      <c r="I287" t="s">
        <v>134</v>
      </c>
      <c r="J287" s="11" t="s">
        <v>134</v>
      </c>
    </row>
    <row r="288" spans="2:10" x14ac:dyDescent="0.3">
      <c r="B288" t="s">
        <v>134</v>
      </c>
      <c r="C288" t="s">
        <v>134</v>
      </c>
      <c r="D288" t="s">
        <v>134</v>
      </c>
      <c r="E288" t="s">
        <v>134</v>
      </c>
      <c r="F288" s="3" t="s">
        <v>134</v>
      </c>
      <c r="G288" t="s">
        <v>134</v>
      </c>
      <c r="H288" t="s">
        <v>134</v>
      </c>
      <c r="I288" t="s">
        <v>134</v>
      </c>
      <c r="J288" s="11" t="s">
        <v>134</v>
      </c>
    </row>
    <row r="289" spans="2:10" x14ac:dyDescent="0.3">
      <c r="B289" t="s">
        <v>134</v>
      </c>
      <c r="C289" t="s">
        <v>134</v>
      </c>
      <c r="D289" t="s">
        <v>134</v>
      </c>
      <c r="E289" t="s">
        <v>134</v>
      </c>
      <c r="F289" s="3" t="s">
        <v>134</v>
      </c>
      <c r="G289" t="s">
        <v>134</v>
      </c>
      <c r="H289" t="s">
        <v>134</v>
      </c>
      <c r="I289" t="s">
        <v>134</v>
      </c>
      <c r="J289" s="11" t="s">
        <v>134</v>
      </c>
    </row>
    <row r="290" spans="2:10" x14ac:dyDescent="0.3">
      <c r="B290" t="s">
        <v>134</v>
      </c>
      <c r="C290" t="s">
        <v>134</v>
      </c>
      <c r="D290" t="s">
        <v>134</v>
      </c>
      <c r="E290" t="s">
        <v>134</v>
      </c>
      <c r="F290" s="3" t="s">
        <v>134</v>
      </c>
      <c r="G290" t="s">
        <v>134</v>
      </c>
      <c r="H290" t="s">
        <v>134</v>
      </c>
      <c r="I290" t="s">
        <v>134</v>
      </c>
      <c r="J290" s="11" t="s">
        <v>134</v>
      </c>
    </row>
    <row r="291" spans="2:10" x14ac:dyDescent="0.3">
      <c r="B291" t="s">
        <v>134</v>
      </c>
      <c r="C291" t="s">
        <v>134</v>
      </c>
      <c r="D291" t="s">
        <v>134</v>
      </c>
      <c r="E291" t="s">
        <v>134</v>
      </c>
      <c r="F291" s="3" t="s">
        <v>134</v>
      </c>
      <c r="G291" t="s">
        <v>134</v>
      </c>
      <c r="H291" t="s">
        <v>134</v>
      </c>
      <c r="I291" t="s">
        <v>134</v>
      </c>
      <c r="J291" s="11" t="s">
        <v>134</v>
      </c>
    </row>
    <row r="292" spans="2:10" x14ac:dyDescent="0.3">
      <c r="B292" t="s">
        <v>134</v>
      </c>
      <c r="C292" t="s">
        <v>134</v>
      </c>
      <c r="D292" t="s">
        <v>134</v>
      </c>
      <c r="E292" t="s">
        <v>134</v>
      </c>
      <c r="F292" s="3" t="s">
        <v>134</v>
      </c>
      <c r="G292" t="s">
        <v>134</v>
      </c>
      <c r="H292" t="s">
        <v>134</v>
      </c>
      <c r="I292" t="s">
        <v>134</v>
      </c>
      <c r="J292" s="11" t="s">
        <v>134</v>
      </c>
    </row>
    <row r="293" spans="2:10" x14ac:dyDescent="0.3">
      <c r="B293" t="s">
        <v>134</v>
      </c>
      <c r="C293" t="s">
        <v>134</v>
      </c>
      <c r="D293" t="s">
        <v>134</v>
      </c>
      <c r="E293" t="s">
        <v>134</v>
      </c>
      <c r="F293" s="3" t="s">
        <v>134</v>
      </c>
      <c r="G293" t="s">
        <v>134</v>
      </c>
      <c r="H293" t="s">
        <v>134</v>
      </c>
      <c r="I293" t="s">
        <v>134</v>
      </c>
      <c r="J293" s="11" t="s">
        <v>134</v>
      </c>
    </row>
    <row r="294" spans="2:10" x14ac:dyDescent="0.3">
      <c r="B294" t="s">
        <v>134</v>
      </c>
      <c r="C294" t="s">
        <v>134</v>
      </c>
      <c r="D294" t="s">
        <v>134</v>
      </c>
      <c r="E294" t="s">
        <v>134</v>
      </c>
      <c r="F294" s="3" t="s">
        <v>134</v>
      </c>
      <c r="G294" t="s">
        <v>134</v>
      </c>
      <c r="H294" t="s">
        <v>134</v>
      </c>
      <c r="I294" t="s">
        <v>134</v>
      </c>
      <c r="J294" s="11" t="s">
        <v>134</v>
      </c>
    </row>
    <row r="295" spans="2:10" x14ac:dyDescent="0.3">
      <c r="B295" t="s">
        <v>134</v>
      </c>
      <c r="C295" t="s">
        <v>134</v>
      </c>
      <c r="D295" t="s">
        <v>134</v>
      </c>
      <c r="E295" t="s">
        <v>134</v>
      </c>
      <c r="F295" s="3" t="s">
        <v>134</v>
      </c>
      <c r="G295" t="s">
        <v>134</v>
      </c>
      <c r="H295" t="s">
        <v>134</v>
      </c>
      <c r="I295" t="s">
        <v>134</v>
      </c>
      <c r="J295" s="11" t="s">
        <v>134</v>
      </c>
    </row>
    <row r="296" spans="2:10" x14ac:dyDescent="0.3">
      <c r="B296" t="s">
        <v>134</v>
      </c>
      <c r="C296" t="s">
        <v>134</v>
      </c>
      <c r="D296" t="s">
        <v>134</v>
      </c>
      <c r="E296" t="s">
        <v>134</v>
      </c>
      <c r="F296" s="3" t="s">
        <v>134</v>
      </c>
      <c r="G296" t="s">
        <v>134</v>
      </c>
      <c r="H296" t="s">
        <v>134</v>
      </c>
      <c r="I296" t="s">
        <v>134</v>
      </c>
      <c r="J296" s="11" t="s">
        <v>134</v>
      </c>
    </row>
    <row r="297" spans="2:10" x14ac:dyDescent="0.3">
      <c r="B297" t="s">
        <v>134</v>
      </c>
      <c r="C297" t="s">
        <v>134</v>
      </c>
      <c r="D297" t="s">
        <v>134</v>
      </c>
      <c r="E297" t="s">
        <v>134</v>
      </c>
      <c r="F297" s="3" t="s">
        <v>134</v>
      </c>
      <c r="G297" t="s">
        <v>134</v>
      </c>
      <c r="H297" t="s">
        <v>134</v>
      </c>
      <c r="I297" t="s">
        <v>134</v>
      </c>
      <c r="J297" s="11" t="s">
        <v>134</v>
      </c>
    </row>
    <row r="298" spans="2:10" x14ac:dyDescent="0.3">
      <c r="B298" t="s">
        <v>134</v>
      </c>
      <c r="C298" t="s">
        <v>134</v>
      </c>
      <c r="D298" t="s">
        <v>134</v>
      </c>
      <c r="E298" t="s">
        <v>134</v>
      </c>
      <c r="F298" s="3" t="s">
        <v>134</v>
      </c>
      <c r="G298" t="s">
        <v>134</v>
      </c>
      <c r="H298" t="s">
        <v>134</v>
      </c>
      <c r="I298" t="s">
        <v>134</v>
      </c>
      <c r="J298" s="11" t="s">
        <v>134</v>
      </c>
    </row>
    <row r="299" spans="2:10" x14ac:dyDescent="0.3">
      <c r="B299" t="s">
        <v>134</v>
      </c>
      <c r="C299" t="s">
        <v>134</v>
      </c>
      <c r="D299" t="s">
        <v>134</v>
      </c>
      <c r="E299" t="s">
        <v>134</v>
      </c>
      <c r="F299" s="3" t="s">
        <v>134</v>
      </c>
      <c r="G299" t="s">
        <v>134</v>
      </c>
      <c r="H299" t="s">
        <v>134</v>
      </c>
      <c r="I299" t="s">
        <v>134</v>
      </c>
      <c r="J299" s="11" t="s">
        <v>134</v>
      </c>
    </row>
    <row r="300" spans="2:10" x14ac:dyDescent="0.3">
      <c r="B300" t="s">
        <v>134</v>
      </c>
      <c r="C300" t="s">
        <v>134</v>
      </c>
      <c r="D300" t="s">
        <v>134</v>
      </c>
      <c r="E300" t="s">
        <v>134</v>
      </c>
      <c r="F300" s="3" t="s">
        <v>134</v>
      </c>
      <c r="G300" t="s">
        <v>134</v>
      </c>
      <c r="H300" t="s">
        <v>134</v>
      </c>
      <c r="I300" t="s">
        <v>134</v>
      </c>
      <c r="J300" s="11" t="s">
        <v>134</v>
      </c>
    </row>
  </sheetData>
  <sheetProtection algorithmName="SHA-512" hashValue="b/HEO6gi9mkbGdfG0WmlSG2Z2GK5KyYpOaf7F3zKRLREA8H08hWlP1unF+3kyxru/Ll20RP7rf7BKce5Wzh6wA==" saltValue="LloHALhggfsCGoCF3S6MOA==" spinCount="100000" sheet="1" objects="1" scenarios="1" autoFilter="0" pivotTables="0"/>
  <conditionalFormatting sqref="A2:A1048576">
    <cfRule type="duplicateValues" dxfId="13" priority="1"/>
  </conditionalFormatting>
  <conditionalFormatting sqref="B2:J300">
    <cfRule type="expression" dxfId="12" priority="2">
      <formula>OR(IF($A2=0,1))</formula>
    </cfRule>
  </conditionalFormatting>
  <hyperlinks>
    <hyperlink ref="G58" r:id="rId1" xr:uid="{9D386A45-E97C-449A-BA71-3BFC33D1D827}"/>
    <hyperlink ref="G72" r:id="rId2" xr:uid="{39F7253F-3A30-4034-BD30-1167AE315471}"/>
    <hyperlink ref="C72" r:id="rId3" display="mailto:info@barnkompani.se" xr:uid="{64BB8804-21BC-46E1-9F1B-2CA26FD40082}"/>
    <hyperlink ref="C205" r:id="rId4" xr:uid="{390F6BF0-4F6F-4036-AF48-6DD2B2AD2B42}"/>
    <hyperlink ref="G21" r:id="rId5" xr:uid="{D1420D9A-8F1B-407F-9E03-257B07C5AF58}"/>
    <hyperlink ref="C155" r:id="rId6" xr:uid="{C3A601C8-C662-48D4-844F-DB910336A4F4}"/>
    <hyperlink ref="G155" r:id="rId7" xr:uid="{BBF3BD9C-F501-4E62-B027-91592D0C90BC}"/>
    <hyperlink ref="G20" r:id="rId8" xr:uid="{DA3C1B36-948F-4978-B5F9-EDA48639C617}"/>
    <hyperlink ref="G230" r:id="rId9" xr:uid="{98EBABF1-72AE-405D-9EDE-A1BA339FC70E}"/>
    <hyperlink ref="G15" r:id="rId10" xr:uid="{E9A586CD-A93D-4532-85AB-B613B614D04A}"/>
    <hyperlink ref="C115" r:id="rId11" xr:uid="{AE60E8BB-50C1-4A41-9E8C-980B75FAC03C}"/>
    <hyperlink ref="G115" r:id="rId12" xr:uid="{D6AA98CE-723D-41EF-8A22-B375AEEA9533}"/>
    <hyperlink ref="G17" r:id="rId13" xr:uid="{41B6F89E-0FD3-45D9-AF19-4A6F4EB6F08A}"/>
    <hyperlink ref="G124" r:id="rId14" xr:uid="{CC733399-659C-430F-94E8-6CB5BE048AB8}"/>
    <hyperlink ref="G56" r:id="rId15" xr:uid="{4805E6CF-B2C6-4F8A-AACD-1BEF6DEB9D60}"/>
    <hyperlink ref="G143" r:id="rId16" xr:uid="{77F563EE-43EF-4E28-9FD4-565E63DBC07A}"/>
    <hyperlink ref="G91" r:id="rId17" xr:uid="{DCEBD828-EA7A-418C-8C07-9C2A67963149}"/>
    <hyperlink ref="G145" r:id="rId18" display="malingustafsson59@gmail.com" xr:uid="{CB969495-F8BF-4407-8F5E-017987F8C7F3}"/>
    <hyperlink ref="G219" r:id="rId19" xr:uid="{F9695B85-1666-40DC-99D8-6E775DB9F020}"/>
    <hyperlink ref="G118" r:id="rId20" xr:uid="{4E390444-A786-4779-B0DF-2E305ECA3BE0}"/>
    <hyperlink ref="G69" r:id="rId21" xr:uid="{448BC039-544F-4F81-8F80-C0AA858B9B6D}"/>
    <hyperlink ref="C56" r:id="rId22" xr:uid="{7F8EB058-2C73-4283-BC87-0A26AA8AF289}"/>
    <hyperlink ref="G136" r:id="rId23" xr:uid="{24DCC94F-E77F-420B-AC7F-78E9C496FEB7}"/>
    <hyperlink ref="C150" r:id="rId24" xr:uid="{B507774D-B101-403A-A1D2-F4756FC59805}"/>
    <hyperlink ref="G150" r:id="rId25" xr:uid="{C87F4D3F-CB71-4040-A4AD-D5ADD50D932E}"/>
    <hyperlink ref="C53" r:id="rId26" xr:uid="{87FB04C9-3052-485A-975D-9D350483B8DA}"/>
    <hyperlink ref="C26" r:id="rId27" xr:uid="{C3A634F0-2908-4B3D-88C4-CCAC19FD8D3C}"/>
    <hyperlink ref="G26" r:id="rId28" xr:uid="{6D3CE2D4-7EEE-481D-B7F1-4A78DEA2FFBD}"/>
    <hyperlink ref="G167" r:id="rId29" xr:uid="{E601BACA-C7A9-49D9-907C-F0990B099F57}"/>
    <hyperlink ref="C66" r:id="rId30" xr:uid="{5F358FD7-2005-4A44-B923-F81AA32A7A84}"/>
    <hyperlink ref="G142" r:id="rId31" xr:uid="{DC1B71A4-1AA1-4139-BDD6-09BB2EA78F83}"/>
    <hyperlink ref="G101" r:id="rId32" xr:uid="{5E4925EF-A52B-44BC-9876-E94E169EB38F}"/>
    <hyperlink ref="C199" r:id="rId33" xr:uid="{A81F1C7C-60F0-47D5-8B63-540013168CB1}"/>
    <hyperlink ref="G199" r:id="rId34" xr:uid="{2AF49116-76F1-45E7-ABD1-DDF9A6B031DB}"/>
    <hyperlink ref="G5" r:id="rId35" xr:uid="{1E8A3993-0902-4ABB-A4A8-016BD80A9ABB}"/>
    <hyperlink ref="G9" r:id="rId36" xr:uid="{3D4548E7-EE1D-41E8-A836-BE688C82EAFA}"/>
    <hyperlink ref="G11" r:id="rId37" xr:uid="{4BF67FA7-4360-44F9-9167-05E2DF3362B1}"/>
    <hyperlink ref="G13" r:id="rId38" xr:uid="{9E9C0B3D-7AAF-48B1-A958-A3DCC2434875}"/>
    <hyperlink ref="C146" r:id="rId39" xr:uid="{DE525A61-7DF5-49AC-BB68-C3452D667616}"/>
    <hyperlink ref="G203" r:id="rId40" xr:uid="{9B829413-4A2D-462F-A266-AE9B5B525092}"/>
    <hyperlink ref="G161" r:id="rId41" xr:uid="{A2A434F8-E457-40BD-B91B-CF1D4A859A85}"/>
    <hyperlink ref="G96" r:id="rId42" xr:uid="{3DA1F683-7D98-431E-A95C-7B6623C0E248}"/>
    <hyperlink ref="C148" r:id="rId43" xr:uid="{9EC9DA5D-B452-41AD-955C-54D50C7F8A57}"/>
    <hyperlink ref="G148" r:id="rId44" xr:uid="{A55495A8-3549-418B-823F-D81978CE1A34}"/>
    <hyperlink ref="G42" r:id="rId45" xr:uid="{80457A54-7C90-4C50-AD32-1292CF0A084B}"/>
    <hyperlink ref="G188" r:id="rId46" xr:uid="{0BFDFEDE-1E4F-44C7-A16F-DC55F5472AD3}"/>
    <hyperlink ref="G192" r:id="rId47" xr:uid="{85B225D8-31D5-41F5-A18B-40B33E26F0F2}"/>
    <hyperlink ref="G220" r:id="rId48" xr:uid="{3CF85B63-995D-4E21-9122-9A50BDDAFCCB}"/>
    <hyperlink ref="G179" r:id="rId49" xr:uid="{A9F98857-044E-48BF-9F67-6BA95A11D9B7}"/>
    <hyperlink ref="C51" r:id="rId50" xr:uid="{9FB4CB9C-ED1F-46F1-90F4-2753A89982D1}"/>
    <hyperlink ref="G154" r:id="rId51" xr:uid="{5F23B009-FA82-4CCE-A3EB-1FCD13DE7E60}"/>
    <hyperlink ref="G214" r:id="rId52" xr:uid="{D5CFE594-9224-4F88-887D-952D9930FD45}"/>
    <hyperlink ref="G10" r:id="rId53" xr:uid="{5D647242-2849-424B-B906-0135C383F27D}"/>
    <hyperlink ref="G63" r:id="rId54" xr:uid="{CB049C3C-D788-40A0-8756-9F22050103E2}"/>
    <hyperlink ref="G204" r:id="rId55" xr:uid="{E28F20C8-CF9C-49CE-BB63-3FE91A3244C5}"/>
    <hyperlink ref="C204" r:id="rId56" xr:uid="{62781683-58D5-4AB3-879F-1705E81E5255}"/>
    <hyperlink ref="G196" r:id="rId57" xr:uid="{AD7314C2-4906-4A3D-B17A-24B5A4EE87AB}"/>
    <hyperlink ref="C12" r:id="rId58" xr:uid="{21D37E06-BF83-4002-B76A-3D96CF982E0F}"/>
    <hyperlink ref="G12" r:id="rId59" xr:uid="{2E6F6C59-3068-4B05-ADC2-F461C2DAC309}"/>
    <hyperlink ref="G173" r:id="rId60" xr:uid="{13EE5483-A349-434C-8ADA-059667C0219C}"/>
    <hyperlink ref="G174" r:id="rId61" xr:uid="{F7350868-6FC8-4168-8E4B-5CACAF7D8475}"/>
    <hyperlink ref="G175" r:id="rId62" xr:uid="{02FB2AD0-4780-4586-8810-AF971D6908B4}"/>
    <hyperlink ref="G176" r:id="rId63" xr:uid="{CC4B9DE7-8643-4847-8E82-4326F8BA0907}"/>
    <hyperlink ref="C196" r:id="rId64" xr:uid="{5A4E2348-EF17-48E1-B3DD-6640AAB90927}"/>
    <hyperlink ref="C63" r:id="rId65" xr:uid="{3FDA08C7-D6CA-4812-AB43-4C673D4705FC}"/>
    <hyperlink ref="G18" r:id="rId66" xr:uid="{8A1F30B7-0703-4031-9D9A-D3BBEB3312C4}"/>
  </hyperlinks>
  <pageMargins left="0.7" right="0.7" top="0.75" bottom="0.75" header="0.3" footer="0.3"/>
  <pageSetup paperSize="9" orientation="portrait" r:id="rId67"/>
  <legacyDrawing r:id="rId68"/>
  <tableParts count="1">
    <tablePart r:id="rId69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C9A25-ECCF-49F4-8404-899360F26938}">
  <sheetPr codeName="Blad2"/>
  <dimension ref="A1:J54"/>
  <sheetViews>
    <sheetView workbookViewId="0">
      <selection activeCell="P34" sqref="P34"/>
    </sheetView>
  </sheetViews>
  <sheetFormatPr defaultColWidth="8.88671875" defaultRowHeight="14.4" x14ac:dyDescent="0.3"/>
  <cols>
    <col min="1" max="1" width="11.6640625" style="17" customWidth="1"/>
    <col min="2" max="2" width="22.88671875" style="14" customWidth="1"/>
    <col min="3" max="3" width="6" style="10" hidden="1" customWidth="1"/>
    <col min="4" max="4" width="10.33203125" style="1" hidden="1" customWidth="1"/>
    <col min="5" max="10" width="10.6640625" style="1" hidden="1" customWidth="1"/>
    <col min="11" max="16384" width="8.88671875" style="14"/>
  </cols>
  <sheetData>
    <row r="1" spans="1:10" s="15" customFormat="1" ht="37.950000000000003" customHeight="1" x14ac:dyDescent="0.3">
      <c r="A1" s="183">
        <v>2025</v>
      </c>
      <c r="B1" s="183"/>
      <c r="C1" s="10" t="s">
        <v>133</v>
      </c>
      <c r="D1" s="10" t="s">
        <v>126</v>
      </c>
      <c r="E1" s="10" t="s">
        <v>127</v>
      </c>
      <c r="F1" s="10" t="s">
        <v>128</v>
      </c>
      <c r="G1" s="10" t="s">
        <v>129</v>
      </c>
      <c r="H1" s="10" t="s">
        <v>130</v>
      </c>
      <c r="I1" s="10" t="s">
        <v>131</v>
      </c>
      <c r="J1" s="10" t="s">
        <v>132</v>
      </c>
    </row>
    <row r="2" spans="1:10" x14ac:dyDescent="0.3">
      <c r="A2" s="16" t="s">
        <v>18</v>
      </c>
      <c r="B2" s="16" t="s">
        <v>19</v>
      </c>
      <c r="C2" s="10" cm="1">
        <f t="array" ref="C2:C54">_xlfn.SEQUENCE(53,1,1,1)</f>
        <v>1</v>
      </c>
      <c r="D2" s="18">
        <f>DATE(A1, 1, 1) - WEEKDAY(DATE(A1, 1, 1), 2) + 1</f>
        <v>45656</v>
      </c>
      <c r="E2" s="18">
        <f t="shared" ref="E2:J11" si="0">D2+1</f>
        <v>45657</v>
      </c>
      <c r="F2" s="18">
        <f t="shared" si="0"/>
        <v>45658</v>
      </c>
      <c r="G2" s="18">
        <f t="shared" si="0"/>
        <v>45659</v>
      </c>
      <c r="H2" s="18">
        <f t="shared" si="0"/>
        <v>45660</v>
      </c>
      <c r="I2" s="18">
        <f t="shared" si="0"/>
        <v>45661</v>
      </c>
      <c r="J2" s="18">
        <f t="shared" si="0"/>
        <v>45662</v>
      </c>
    </row>
    <row r="3" spans="1:10" x14ac:dyDescent="0.3">
      <c r="A3" s="17">
        <v>45658</v>
      </c>
      <c r="B3" s="14" t="s">
        <v>27</v>
      </c>
      <c r="C3" s="10">
        <v>2</v>
      </c>
      <c r="D3" s="18">
        <f t="shared" ref="D3:D34" si="1">D2+7</f>
        <v>45663</v>
      </c>
      <c r="E3" s="18">
        <f t="shared" si="0"/>
        <v>45664</v>
      </c>
      <c r="F3" s="18">
        <f t="shared" si="0"/>
        <v>45665</v>
      </c>
      <c r="G3" s="18">
        <f t="shared" si="0"/>
        <v>45666</v>
      </c>
      <c r="H3" s="18">
        <f t="shared" si="0"/>
        <v>45667</v>
      </c>
      <c r="I3" s="18">
        <f t="shared" si="0"/>
        <v>45668</v>
      </c>
      <c r="J3" s="18">
        <f t="shared" si="0"/>
        <v>45669</v>
      </c>
    </row>
    <row r="4" spans="1:10" x14ac:dyDescent="0.3">
      <c r="A4" s="17">
        <v>45663</v>
      </c>
      <c r="B4" s="14" t="s">
        <v>32</v>
      </c>
      <c r="C4" s="10">
        <v>3</v>
      </c>
      <c r="D4" s="18">
        <f t="shared" si="1"/>
        <v>45670</v>
      </c>
      <c r="E4" s="18">
        <f t="shared" si="0"/>
        <v>45671</v>
      </c>
      <c r="F4" s="18">
        <f t="shared" si="0"/>
        <v>45672</v>
      </c>
      <c r="G4" s="18">
        <f t="shared" si="0"/>
        <v>45673</v>
      </c>
      <c r="H4" s="18">
        <f t="shared" si="0"/>
        <v>45674</v>
      </c>
      <c r="I4" s="18">
        <f t="shared" si="0"/>
        <v>45675</v>
      </c>
      <c r="J4" s="18">
        <f t="shared" si="0"/>
        <v>45676</v>
      </c>
    </row>
    <row r="5" spans="1:10" x14ac:dyDescent="0.3">
      <c r="A5" s="17">
        <v>45765</v>
      </c>
      <c r="B5" s="14" t="s">
        <v>34</v>
      </c>
      <c r="C5" s="10">
        <v>4</v>
      </c>
      <c r="D5" s="18">
        <f t="shared" si="1"/>
        <v>45677</v>
      </c>
      <c r="E5" s="18">
        <f t="shared" si="0"/>
        <v>45678</v>
      </c>
      <c r="F5" s="18">
        <f t="shared" si="0"/>
        <v>45679</v>
      </c>
      <c r="G5" s="18">
        <f t="shared" si="0"/>
        <v>45680</v>
      </c>
      <c r="H5" s="18">
        <f t="shared" si="0"/>
        <v>45681</v>
      </c>
      <c r="I5" s="18">
        <f t="shared" si="0"/>
        <v>45682</v>
      </c>
      <c r="J5" s="18">
        <f t="shared" si="0"/>
        <v>45683</v>
      </c>
    </row>
    <row r="6" spans="1:10" x14ac:dyDescent="0.3">
      <c r="A6" s="17">
        <v>45767</v>
      </c>
      <c r="B6" s="14" t="s">
        <v>37</v>
      </c>
      <c r="C6" s="10">
        <v>5</v>
      </c>
      <c r="D6" s="18">
        <f t="shared" si="1"/>
        <v>45684</v>
      </c>
      <c r="E6" s="18">
        <f t="shared" si="0"/>
        <v>45685</v>
      </c>
      <c r="F6" s="18">
        <f t="shared" si="0"/>
        <v>45686</v>
      </c>
      <c r="G6" s="18">
        <f t="shared" si="0"/>
        <v>45687</v>
      </c>
      <c r="H6" s="18">
        <f t="shared" si="0"/>
        <v>45688</v>
      </c>
      <c r="I6" s="18">
        <f t="shared" si="0"/>
        <v>45689</v>
      </c>
      <c r="J6" s="18">
        <f t="shared" si="0"/>
        <v>45690</v>
      </c>
    </row>
    <row r="7" spans="1:10" x14ac:dyDescent="0.3">
      <c r="A7" s="17">
        <v>45768</v>
      </c>
      <c r="B7" s="14" t="s">
        <v>41</v>
      </c>
      <c r="C7" s="10">
        <v>6</v>
      </c>
      <c r="D7" s="18">
        <f t="shared" si="1"/>
        <v>45691</v>
      </c>
      <c r="E7" s="18">
        <f t="shared" si="0"/>
        <v>45692</v>
      </c>
      <c r="F7" s="18">
        <f t="shared" si="0"/>
        <v>45693</v>
      </c>
      <c r="G7" s="18">
        <f t="shared" si="0"/>
        <v>45694</v>
      </c>
      <c r="H7" s="18">
        <f t="shared" si="0"/>
        <v>45695</v>
      </c>
      <c r="I7" s="18">
        <f t="shared" si="0"/>
        <v>45696</v>
      </c>
      <c r="J7" s="18">
        <f t="shared" si="0"/>
        <v>45697</v>
      </c>
    </row>
    <row r="8" spans="1:10" x14ac:dyDescent="0.3">
      <c r="A8" s="17">
        <v>45778</v>
      </c>
      <c r="B8" s="14" t="s">
        <v>43</v>
      </c>
      <c r="C8" s="10">
        <v>7</v>
      </c>
      <c r="D8" s="18">
        <f t="shared" si="1"/>
        <v>45698</v>
      </c>
      <c r="E8" s="18">
        <f t="shared" si="0"/>
        <v>45699</v>
      </c>
      <c r="F8" s="18">
        <f t="shared" si="0"/>
        <v>45700</v>
      </c>
      <c r="G8" s="18">
        <f t="shared" si="0"/>
        <v>45701</v>
      </c>
      <c r="H8" s="18">
        <f t="shared" si="0"/>
        <v>45702</v>
      </c>
      <c r="I8" s="18">
        <f t="shared" si="0"/>
        <v>45703</v>
      </c>
      <c r="J8" s="18">
        <f t="shared" si="0"/>
        <v>45704</v>
      </c>
    </row>
    <row r="9" spans="1:10" x14ac:dyDescent="0.3">
      <c r="A9" s="17">
        <v>45806</v>
      </c>
      <c r="B9" s="14" t="s">
        <v>45</v>
      </c>
      <c r="C9" s="10">
        <v>8</v>
      </c>
      <c r="D9" s="18">
        <f t="shared" si="1"/>
        <v>45705</v>
      </c>
      <c r="E9" s="18">
        <f t="shared" si="0"/>
        <v>45706</v>
      </c>
      <c r="F9" s="18">
        <f t="shared" si="0"/>
        <v>45707</v>
      </c>
      <c r="G9" s="18">
        <f t="shared" si="0"/>
        <v>45708</v>
      </c>
      <c r="H9" s="18">
        <f t="shared" si="0"/>
        <v>45709</v>
      </c>
      <c r="I9" s="18">
        <f t="shared" si="0"/>
        <v>45710</v>
      </c>
      <c r="J9" s="18">
        <f t="shared" si="0"/>
        <v>45711</v>
      </c>
    </row>
    <row r="10" spans="1:10" x14ac:dyDescent="0.3">
      <c r="A10" s="17">
        <v>45814</v>
      </c>
      <c r="B10" s="14" t="s">
        <v>47</v>
      </c>
      <c r="C10" s="10">
        <v>9</v>
      </c>
      <c r="D10" s="18">
        <f t="shared" si="1"/>
        <v>45712</v>
      </c>
      <c r="E10" s="18">
        <f t="shared" si="0"/>
        <v>45713</v>
      </c>
      <c r="F10" s="18">
        <f t="shared" si="0"/>
        <v>45714</v>
      </c>
      <c r="G10" s="18">
        <f t="shared" si="0"/>
        <v>45715</v>
      </c>
      <c r="H10" s="18">
        <f t="shared" si="0"/>
        <v>45716</v>
      </c>
      <c r="I10" s="18">
        <f t="shared" si="0"/>
        <v>45717</v>
      </c>
      <c r="J10" s="18">
        <f t="shared" si="0"/>
        <v>45718</v>
      </c>
    </row>
    <row r="11" spans="1:10" x14ac:dyDescent="0.3">
      <c r="A11" s="17">
        <v>45816</v>
      </c>
      <c r="B11" s="14" t="s">
        <v>51</v>
      </c>
      <c r="C11" s="10">
        <v>10</v>
      </c>
      <c r="D11" s="18">
        <f t="shared" si="1"/>
        <v>45719</v>
      </c>
      <c r="E11" s="18">
        <f t="shared" si="0"/>
        <v>45720</v>
      </c>
      <c r="F11" s="18">
        <f t="shared" si="0"/>
        <v>45721</v>
      </c>
      <c r="G11" s="18">
        <f t="shared" si="0"/>
        <v>45722</v>
      </c>
      <c r="H11" s="18">
        <f t="shared" si="0"/>
        <v>45723</v>
      </c>
      <c r="I11" s="18">
        <f t="shared" si="0"/>
        <v>45724</v>
      </c>
      <c r="J11" s="18">
        <f t="shared" si="0"/>
        <v>45725</v>
      </c>
    </row>
    <row r="12" spans="1:10" x14ac:dyDescent="0.3">
      <c r="A12" s="17">
        <v>45829</v>
      </c>
      <c r="B12" s="14" t="s">
        <v>54</v>
      </c>
      <c r="C12" s="10">
        <v>11</v>
      </c>
      <c r="D12" s="18">
        <f t="shared" si="1"/>
        <v>45726</v>
      </c>
      <c r="E12" s="18">
        <f t="shared" ref="E12:J21" si="2">D12+1</f>
        <v>45727</v>
      </c>
      <c r="F12" s="18">
        <f t="shared" si="2"/>
        <v>45728</v>
      </c>
      <c r="G12" s="18">
        <f t="shared" si="2"/>
        <v>45729</v>
      </c>
      <c r="H12" s="18">
        <f t="shared" si="2"/>
        <v>45730</v>
      </c>
      <c r="I12" s="18">
        <f t="shared" si="2"/>
        <v>45731</v>
      </c>
      <c r="J12" s="18">
        <f t="shared" si="2"/>
        <v>45732</v>
      </c>
    </row>
    <row r="13" spans="1:10" x14ac:dyDescent="0.3">
      <c r="A13" s="17">
        <v>45962</v>
      </c>
      <c r="B13" s="14" t="s">
        <v>57</v>
      </c>
      <c r="C13" s="10">
        <v>12</v>
      </c>
      <c r="D13" s="18">
        <f t="shared" si="1"/>
        <v>45733</v>
      </c>
      <c r="E13" s="18">
        <f t="shared" si="2"/>
        <v>45734</v>
      </c>
      <c r="F13" s="18">
        <f t="shared" si="2"/>
        <v>45735</v>
      </c>
      <c r="G13" s="18">
        <f t="shared" si="2"/>
        <v>45736</v>
      </c>
      <c r="H13" s="18">
        <f t="shared" si="2"/>
        <v>45737</v>
      </c>
      <c r="I13" s="18">
        <f t="shared" si="2"/>
        <v>45738</v>
      </c>
      <c r="J13" s="18">
        <f t="shared" si="2"/>
        <v>45739</v>
      </c>
    </row>
    <row r="14" spans="1:10" x14ac:dyDescent="0.3">
      <c r="A14" s="17">
        <v>46016</v>
      </c>
      <c r="B14" s="14" t="s">
        <v>59</v>
      </c>
      <c r="C14" s="10">
        <v>13</v>
      </c>
      <c r="D14" s="18">
        <f t="shared" si="1"/>
        <v>45740</v>
      </c>
      <c r="E14" s="18">
        <f t="shared" si="2"/>
        <v>45741</v>
      </c>
      <c r="F14" s="18">
        <f t="shared" si="2"/>
        <v>45742</v>
      </c>
      <c r="G14" s="18">
        <f t="shared" si="2"/>
        <v>45743</v>
      </c>
      <c r="H14" s="18">
        <f t="shared" si="2"/>
        <v>45744</v>
      </c>
      <c r="I14" s="18">
        <f t="shared" si="2"/>
        <v>45745</v>
      </c>
      <c r="J14" s="18">
        <f t="shared" si="2"/>
        <v>45746</v>
      </c>
    </row>
    <row r="15" spans="1:10" x14ac:dyDescent="0.3">
      <c r="A15" s="17">
        <v>46017</v>
      </c>
      <c r="B15" s="14" t="s">
        <v>61</v>
      </c>
      <c r="C15" s="10">
        <v>14</v>
      </c>
      <c r="D15" s="18">
        <f t="shared" si="1"/>
        <v>45747</v>
      </c>
      <c r="E15" s="18">
        <f t="shared" si="2"/>
        <v>45748</v>
      </c>
      <c r="F15" s="18">
        <f t="shared" si="2"/>
        <v>45749</v>
      </c>
      <c r="G15" s="18">
        <f t="shared" si="2"/>
        <v>45750</v>
      </c>
      <c r="H15" s="18">
        <f t="shared" si="2"/>
        <v>45751</v>
      </c>
      <c r="I15" s="18">
        <f t="shared" si="2"/>
        <v>45752</v>
      </c>
      <c r="J15" s="18">
        <f t="shared" si="2"/>
        <v>45753</v>
      </c>
    </row>
    <row r="16" spans="1:10" x14ac:dyDescent="0.3">
      <c r="A16" s="17">
        <v>45828</v>
      </c>
      <c r="B16" s="14" t="s">
        <v>63</v>
      </c>
      <c r="C16" s="10">
        <v>15</v>
      </c>
      <c r="D16" s="18">
        <f t="shared" si="1"/>
        <v>45754</v>
      </c>
      <c r="E16" s="18">
        <f t="shared" si="2"/>
        <v>45755</v>
      </c>
      <c r="F16" s="18">
        <f t="shared" si="2"/>
        <v>45756</v>
      </c>
      <c r="G16" s="18">
        <f t="shared" si="2"/>
        <v>45757</v>
      </c>
      <c r="H16" s="18">
        <f t="shared" si="2"/>
        <v>45758</v>
      </c>
      <c r="I16" s="18">
        <f t="shared" si="2"/>
        <v>45759</v>
      </c>
      <c r="J16" s="18">
        <f t="shared" si="2"/>
        <v>45760</v>
      </c>
    </row>
    <row r="17" spans="1:10" x14ac:dyDescent="0.3">
      <c r="A17" s="17">
        <v>46015</v>
      </c>
      <c r="B17" s="14" t="s">
        <v>65</v>
      </c>
      <c r="C17" s="10">
        <v>16</v>
      </c>
      <c r="D17" s="18">
        <f t="shared" si="1"/>
        <v>45761</v>
      </c>
      <c r="E17" s="18">
        <f t="shared" si="2"/>
        <v>45762</v>
      </c>
      <c r="F17" s="18">
        <f t="shared" si="2"/>
        <v>45763</v>
      </c>
      <c r="G17" s="18">
        <f t="shared" si="2"/>
        <v>45764</v>
      </c>
      <c r="H17" s="18">
        <f t="shared" si="2"/>
        <v>45765</v>
      </c>
      <c r="I17" s="18">
        <f t="shared" si="2"/>
        <v>45766</v>
      </c>
      <c r="J17" s="18">
        <f t="shared" si="2"/>
        <v>45767</v>
      </c>
    </row>
    <row r="18" spans="1:10" x14ac:dyDescent="0.3">
      <c r="C18" s="10">
        <v>17</v>
      </c>
      <c r="D18" s="18">
        <f t="shared" si="1"/>
        <v>45768</v>
      </c>
      <c r="E18" s="18">
        <f t="shared" si="2"/>
        <v>45769</v>
      </c>
      <c r="F18" s="18">
        <f t="shared" si="2"/>
        <v>45770</v>
      </c>
      <c r="G18" s="18">
        <f t="shared" si="2"/>
        <v>45771</v>
      </c>
      <c r="H18" s="18">
        <f t="shared" si="2"/>
        <v>45772</v>
      </c>
      <c r="I18" s="18">
        <f t="shared" si="2"/>
        <v>45773</v>
      </c>
      <c r="J18" s="18">
        <f t="shared" si="2"/>
        <v>45774</v>
      </c>
    </row>
    <row r="19" spans="1:10" x14ac:dyDescent="0.3">
      <c r="C19" s="10">
        <v>18</v>
      </c>
      <c r="D19" s="18">
        <f t="shared" si="1"/>
        <v>45775</v>
      </c>
      <c r="E19" s="18">
        <f t="shared" si="2"/>
        <v>45776</v>
      </c>
      <c r="F19" s="18">
        <f t="shared" si="2"/>
        <v>45777</v>
      </c>
      <c r="G19" s="18">
        <f t="shared" si="2"/>
        <v>45778</v>
      </c>
      <c r="H19" s="18">
        <f t="shared" si="2"/>
        <v>45779</v>
      </c>
      <c r="I19" s="18">
        <f t="shared" si="2"/>
        <v>45780</v>
      </c>
      <c r="J19" s="18">
        <f t="shared" si="2"/>
        <v>45781</v>
      </c>
    </row>
    <row r="20" spans="1:10" x14ac:dyDescent="0.3">
      <c r="C20" s="10">
        <v>19</v>
      </c>
      <c r="D20" s="18">
        <f t="shared" si="1"/>
        <v>45782</v>
      </c>
      <c r="E20" s="18">
        <f t="shared" si="2"/>
        <v>45783</v>
      </c>
      <c r="F20" s="18">
        <f t="shared" si="2"/>
        <v>45784</v>
      </c>
      <c r="G20" s="18">
        <f t="shared" si="2"/>
        <v>45785</v>
      </c>
      <c r="H20" s="18">
        <f t="shared" si="2"/>
        <v>45786</v>
      </c>
      <c r="I20" s="18">
        <f t="shared" si="2"/>
        <v>45787</v>
      </c>
      <c r="J20" s="18">
        <f t="shared" si="2"/>
        <v>45788</v>
      </c>
    </row>
    <row r="21" spans="1:10" x14ac:dyDescent="0.3">
      <c r="C21" s="10">
        <v>20</v>
      </c>
      <c r="D21" s="18">
        <f t="shared" si="1"/>
        <v>45789</v>
      </c>
      <c r="E21" s="18">
        <f t="shared" si="2"/>
        <v>45790</v>
      </c>
      <c r="F21" s="18">
        <f t="shared" si="2"/>
        <v>45791</v>
      </c>
      <c r="G21" s="18">
        <f t="shared" si="2"/>
        <v>45792</v>
      </c>
      <c r="H21" s="18">
        <f t="shared" si="2"/>
        <v>45793</v>
      </c>
      <c r="I21" s="18">
        <f t="shared" si="2"/>
        <v>45794</v>
      </c>
      <c r="J21" s="18">
        <f t="shared" si="2"/>
        <v>45795</v>
      </c>
    </row>
    <row r="22" spans="1:10" x14ac:dyDescent="0.3">
      <c r="C22" s="10">
        <v>21</v>
      </c>
      <c r="D22" s="18">
        <f t="shared" si="1"/>
        <v>45796</v>
      </c>
      <c r="E22" s="18">
        <f t="shared" ref="E22:J31" si="3">D22+1</f>
        <v>45797</v>
      </c>
      <c r="F22" s="18">
        <f t="shared" si="3"/>
        <v>45798</v>
      </c>
      <c r="G22" s="18">
        <f t="shared" si="3"/>
        <v>45799</v>
      </c>
      <c r="H22" s="18">
        <f t="shared" si="3"/>
        <v>45800</v>
      </c>
      <c r="I22" s="18">
        <f t="shared" si="3"/>
        <v>45801</v>
      </c>
      <c r="J22" s="18">
        <f t="shared" si="3"/>
        <v>45802</v>
      </c>
    </row>
    <row r="23" spans="1:10" x14ac:dyDescent="0.3">
      <c r="C23" s="10">
        <v>22</v>
      </c>
      <c r="D23" s="18">
        <f t="shared" si="1"/>
        <v>45803</v>
      </c>
      <c r="E23" s="18">
        <f t="shared" si="3"/>
        <v>45804</v>
      </c>
      <c r="F23" s="18">
        <f t="shared" si="3"/>
        <v>45805</v>
      </c>
      <c r="G23" s="18">
        <f t="shared" si="3"/>
        <v>45806</v>
      </c>
      <c r="H23" s="18">
        <f t="shared" si="3"/>
        <v>45807</v>
      </c>
      <c r="I23" s="18">
        <f t="shared" si="3"/>
        <v>45808</v>
      </c>
      <c r="J23" s="18">
        <f t="shared" si="3"/>
        <v>45809</v>
      </c>
    </row>
    <row r="24" spans="1:10" x14ac:dyDescent="0.3">
      <c r="C24" s="10">
        <v>23</v>
      </c>
      <c r="D24" s="18">
        <f t="shared" si="1"/>
        <v>45810</v>
      </c>
      <c r="E24" s="18">
        <f t="shared" si="3"/>
        <v>45811</v>
      </c>
      <c r="F24" s="18">
        <f t="shared" si="3"/>
        <v>45812</v>
      </c>
      <c r="G24" s="18">
        <f t="shared" si="3"/>
        <v>45813</v>
      </c>
      <c r="H24" s="18">
        <f t="shared" si="3"/>
        <v>45814</v>
      </c>
      <c r="I24" s="18">
        <f t="shared" si="3"/>
        <v>45815</v>
      </c>
      <c r="J24" s="18">
        <f t="shared" si="3"/>
        <v>45816</v>
      </c>
    </row>
    <row r="25" spans="1:10" x14ac:dyDescent="0.3">
      <c r="C25" s="10">
        <v>24</v>
      </c>
      <c r="D25" s="18">
        <f t="shared" si="1"/>
        <v>45817</v>
      </c>
      <c r="E25" s="18">
        <f t="shared" si="3"/>
        <v>45818</v>
      </c>
      <c r="F25" s="18">
        <f t="shared" si="3"/>
        <v>45819</v>
      </c>
      <c r="G25" s="18">
        <f t="shared" si="3"/>
        <v>45820</v>
      </c>
      <c r="H25" s="18">
        <f t="shared" si="3"/>
        <v>45821</v>
      </c>
      <c r="I25" s="18">
        <f t="shared" si="3"/>
        <v>45822</v>
      </c>
      <c r="J25" s="18">
        <f t="shared" si="3"/>
        <v>45823</v>
      </c>
    </row>
    <row r="26" spans="1:10" x14ac:dyDescent="0.3">
      <c r="C26" s="10">
        <v>25</v>
      </c>
      <c r="D26" s="18">
        <f t="shared" si="1"/>
        <v>45824</v>
      </c>
      <c r="E26" s="18">
        <f t="shared" si="3"/>
        <v>45825</v>
      </c>
      <c r="F26" s="18">
        <f t="shared" si="3"/>
        <v>45826</v>
      </c>
      <c r="G26" s="18">
        <f t="shared" si="3"/>
        <v>45827</v>
      </c>
      <c r="H26" s="18">
        <f t="shared" si="3"/>
        <v>45828</v>
      </c>
      <c r="I26" s="18">
        <f t="shared" si="3"/>
        <v>45829</v>
      </c>
      <c r="J26" s="18">
        <f t="shared" si="3"/>
        <v>45830</v>
      </c>
    </row>
    <row r="27" spans="1:10" x14ac:dyDescent="0.3">
      <c r="C27" s="10">
        <v>26</v>
      </c>
      <c r="D27" s="18">
        <f t="shared" si="1"/>
        <v>45831</v>
      </c>
      <c r="E27" s="18">
        <f t="shared" si="3"/>
        <v>45832</v>
      </c>
      <c r="F27" s="18">
        <f t="shared" si="3"/>
        <v>45833</v>
      </c>
      <c r="G27" s="18">
        <f t="shared" si="3"/>
        <v>45834</v>
      </c>
      <c r="H27" s="18">
        <f t="shared" si="3"/>
        <v>45835</v>
      </c>
      <c r="I27" s="18">
        <f t="shared" si="3"/>
        <v>45836</v>
      </c>
      <c r="J27" s="18">
        <f t="shared" si="3"/>
        <v>45837</v>
      </c>
    </row>
    <row r="28" spans="1:10" x14ac:dyDescent="0.3">
      <c r="C28" s="10">
        <v>27</v>
      </c>
      <c r="D28" s="18">
        <f t="shared" si="1"/>
        <v>45838</v>
      </c>
      <c r="E28" s="18">
        <f t="shared" si="3"/>
        <v>45839</v>
      </c>
      <c r="F28" s="18">
        <f t="shared" si="3"/>
        <v>45840</v>
      </c>
      <c r="G28" s="18">
        <f t="shared" si="3"/>
        <v>45841</v>
      </c>
      <c r="H28" s="18">
        <f t="shared" si="3"/>
        <v>45842</v>
      </c>
      <c r="I28" s="18">
        <f t="shared" si="3"/>
        <v>45843</v>
      </c>
      <c r="J28" s="18">
        <f t="shared" si="3"/>
        <v>45844</v>
      </c>
    </row>
    <row r="29" spans="1:10" x14ac:dyDescent="0.3">
      <c r="C29" s="10">
        <v>28</v>
      </c>
      <c r="D29" s="18">
        <f t="shared" si="1"/>
        <v>45845</v>
      </c>
      <c r="E29" s="18">
        <f t="shared" si="3"/>
        <v>45846</v>
      </c>
      <c r="F29" s="18">
        <f t="shared" si="3"/>
        <v>45847</v>
      </c>
      <c r="G29" s="18">
        <f t="shared" si="3"/>
        <v>45848</v>
      </c>
      <c r="H29" s="18">
        <f t="shared" si="3"/>
        <v>45849</v>
      </c>
      <c r="I29" s="18">
        <f t="shared" si="3"/>
        <v>45850</v>
      </c>
      <c r="J29" s="18">
        <f t="shared" si="3"/>
        <v>45851</v>
      </c>
    </row>
    <row r="30" spans="1:10" x14ac:dyDescent="0.3">
      <c r="C30" s="10">
        <v>29</v>
      </c>
      <c r="D30" s="18">
        <f t="shared" si="1"/>
        <v>45852</v>
      </c>
      <c r="E30" s="18">
        <f t="shared" si="3"/>
        <v>45853</v>
      </c>
      <c r="F30" s="18">
        <f t="shared" si="3"/>
        <v>45854</v>
      </c>
      <c r="G30" s="18">
        <f t="shared" si="3"/>
        <v>45855</v>
      </c>
      <c r="H30" s="18">
        <f t="shared" si="3"/>
        <v>45856</v>
      </c>
      <c r="I30" s="18">
        <f t="shared" si="3"/>
        <v>45857</v>
      </c>
      <c r="J30" s="18">
        <f t="shared" si="3"/>
        <v>45858</v>
      </c>
    </row>
    <row r="31" spans="1:10" x14ac:dyDescent="0.3">
      <c r="C31" s="10">
        <v>30</v>
      </c>
      <c r="D31" s="18">
        <f t="shared" si="1"/>
        <v>45859</v>
      </c>
      <c r="E31" s="18">
        <f t="shared" si="3"/>
        <v>45860</v>
      </c>
      <c r="F31" s="18">
        <f t="shared" si="3"/>
        <v>45861</v>
      </c>
      <c r="G31" s="18">
        <f t="shared" si="3"/>
        <v>45862</v>
      </c>
      <c r="H31" s="18">
        <f t="shared" si="3"/>
        <v>45863</v>
      </c>
      <c r="I31" s="18">
        <f t="shared" si="3"/>
        <v>45864</v>
      </c>
      <c r="J31" s="18">
        <f t="shared" si="3"/>
        <v>45865</v>
      </c>
    </row>
    <row r="32" spans="1:10" x14ac:dyDescent="0.3">
      <c r="C32" s="10">
        <v>31</v>
      </c>
      <c r="D32" s="18">
        <f t="shared" si="1"/>
        <v>45866</v>
      </c>
      <c r="E32" s="18">
        <f t="shared" ref="E32:J41" si="4">D32+1</f>
        <v>45867</v>
      </c>
      <c r="F32" s="18">
        <f t="shared" si="4"/>
        <v>45868</v>
      </c>
      <c r="G32" s="18">
        <f t="shared" si="4"/>
        <v>45869</v>
      </c>
      <c r="H32" s="18">
        <f t="shared" si="4"/>
        <v>45870</v>
      </c>
      <c r="I32" s="18">
        <f t="shared" si="4"/>
        <v>45871</v>
      </c>
      <c r="J32" s="18">
        <f t="shared" si="4"/>
        <v>45872</v>
      </c>
    </row>
    <row r="33" spans="3:10" x14ac:dyDescent="0.3">
      <c r="C33" s="10">
        <v>32</v>
      </c>
      <c r="D33" s="18">
        <f t="shared" si="1"/>
        <v>45873</v>
      </c>
      <c r="E33" s="18">
        <f t="shared" si="4"/>
        <v>45874</v>
      </c>
      <c r="F33" s="18">
        <f t="shared" si="4"/>
        <v>45875</v>
      </c>
      <c r="G33" s="18">
        <f t="shared" si="4"/>
        <v>45876</v>
      </c>
      <c r="H33" s="18">
        <f t="shared" si="4"/>
        <v>45877</v>
      </c>
      <c r="I33" s="18">
        <f t="shared" si="4"/>
        <v>45878</v>
      </c>
      <c r="J33" s="18">
        <f t="shared" si="4"/>
        <v>45879</v>
      </c>
    </row>
    <row r="34" spans="3:10" x14ac:dyDescent="0.3">
      <c r="C34" s="10">
        <v>33</v>
      </c>
      <c r="D34" s="18">
        <f t="shared" si="1"/>
        <v>45880</v>
      </c>
      <c r="E34" s="18">
        <f t="shared" si="4"/>
        <v>45881</v>
      </c>
      <c r="F34" s="18">
        <f t="shared" si="4"/>
        <v>45882</v>
      </c>
      <c r="G34" s="18">
        <f t="shared" si="4"/>
        <v>45883</v>
      </c>
      <c r="H34" s="18">
        <f t="shared" si="4"/>
        <v>45884</v>
      </c>
      <c r="I34" s="18">
        <f t="shared" si="4"/>
        <v>45885</v>
      </c>
      <c r="J34" s="18">
        <f t="shared" si="4"/>
        <v>45886</v>
      </c>
    </row>
    <row r="35" spans="3:10" x14ac:dyDescent="0.3">
      <c r="C35" s="10">
        <v>34</v>
      </c>
      <c r="D35" s="18">
        <f t="shared" ref="D35:D54" si="5">D34+7</f>
        <v>45887</v>
      </c>
      <c r="E35" s="18">
        <f t="shared" si="4"/>
        <v>45888</v>
      </c>
      <c r="F35" s="18">
        <f t="shared" si="4"/>
        <v>45889</v>
      </c>
      <c r="G35" s="18">
        <f t="shared" si="4"/>
        <v>45890</v>
      </c>
      <c r="H35" s="18">
        <f t="shared" si="4"/>
        <v>45891</v>
      </c>
      <c r="I35" s="18">
        <f t="shared" si="4"/>
        <v>45892</v>
      </c>
      <c r="J35" s="18">
        <f t="shared" si="4"/>
        <v>45893</v>
      </c>
    </row>
    <row r="36" spans="3:10" x14ac:dyDescent="0.3">
      <c r="C36" s="10">
        <v>35</v>
      </c>
      <c r="D36" s="18">
        <f t="shared" si="5"/>
        <v>45894</v>
      </c>
      <c r="E36" s="18">
        <f t="shared" si="4"/>
        <v>45895</v>
      </c>
      <c r="F36" s="18">
        <f t="shared" si="4"/>
        <v>45896</v>
      </c>
      <c r="G36" s="18">
        <f t="shared" si="4"/>
        <v>45897</v>
      </c>
      <c r="H36" s="18">
        <f t="shared" si="4"/>
        <v>45898</v>
      </c>
      <c r="I36" s="18">
        <f t="shared" si="4"/>
        <v>45899</v>
      </c>
      <c r="J36" s="18">
        <f t="shared" si="4"/>
        <v>45900</v>
      </c>
    </row>
    <row r="37" spans="3:10" x14ac:dyDescent="0.3">
      <c r="C37" s="10">
        <v>36</v>
      </c>
      <c r="D37" s="18">
        <f t="shared" si="5"/>
        <v>45901</v>
      </c>
      <c r="E37" s="18">
        <f t="shared" si="4"/>
        <v>45902</v>
      </c>
      <c r="F37" s="18">
        <f t="shared" si="4"/>
        <v>45903</v>
      </c>
      <c r="G37" s="18">
        <f t="shared" si="4"/>
        <v>45904</v>
      </c>
      <c r="H37" s="18">
        <f t="shared" si="4"/>
        <v>45905</v>
      </c>
      <c r="I37" s="18">
        <f t="shared" si="4"/>
        <v>45906</v>
      </c>
      <c r="J37" s="18">
        <f t="shared" si="4"/>
        <v>45907</v>
      </c>
    </row>
    <row r="38" spans="3:10" x14ac:dyDescent="0.3">
      <c r="C38" s="10">
        <v>37</v>
      </c>
      <c r="D38" s="18">
        <f t="shared" si="5"/>
        <v>45908</v>
      </c>
      <c r="E38" s="18">
        <f t="shared" si="4"/>
        <v>45909</v>
      </c>
      <c r="F38" s="18">
        <f t="shared" si="4"/>
        <v>45910</v>
      </c>
      <c r="G38" s="18">
        <f t="shared" si="4"/>
        <v>45911</v>
      </c>
      <c r="H38" s="18">
        <f t="shared" si="4"/>
        <v>45912</v>
      </c>
      <c r="I38" s="18">
        <f t="shared" si="4"/>
        <v>45913</v>
      </c>
      <c r="J38" s="18">
        <f t="shared" si="4"/>
        <v>45914</v>
      </c>
    </row>
    <row r="39" spans="3:10" x14ac:dyDescent="0.3">
      <c r="C39" s="10">
        <v>38</v>
      </c>
      <c r="D39" s="18">
        <f t="shared" si="5"/>
        <v>45915</v>
      </c>
      <c r="E39" s="18">
        <f t="shared" si="4"/>
        <v>45916</v>
      </c>
      <c r="F39" s="18">
        <f t="shared" si="4"/>
        <v>45917</v>
      </c>
      <c r="G39" s="18">
        <f t="shared" si="4"/>
        <v>45918</v>
      </c>
      <c r="H39" s="18">
        <f t="shared" si="4"/>
        <v>45919</v>
      </c>
      <c r="I39" s="18">
        <f t="shared" si="4"/>
        <v>45920</v>
      </c>
      <c r="J39" s="18">
        <f t="shared" si="4"/>
        <v>45921</v>
      </c>
    </row>
    <row r="40" spans="3:10" x14ac:dyDescent="0.3">
      <c r="C40" s="10">
        <v>39</v>
      </c>
      <c r="D40" s="18">
        <f t="shared" si="5"/>
        <v>45922</v>
      </c>
      <c r="E40" s="18">
        <f t="shared" si="4"/>
        <v>45923</v>
      </c>
      <c r="F40" s="18">
        <f t="shared" si="4"/>
        <v>45924</v>
      </c>
      <c r="G40" s="18">
        <f t="shared" si="4"/>
        <v>45925</v>
      </c>
      <c r="H40" s="18">
        <f t="shared" si="4"/>
        <v>45926</v>
      </c>
      <c r="I40" s="18">
        <f t="shared" si="4"/>
        <v>45927</v>
      </c>
      <c r="J40" s="18">
        <f t="shared" si="4"/>
        <v>45928</v>
      </c>
    </row>
    <row r="41" spans="3:10" x14ac:dyDescent="0.3">
      <c r="C41" s="10">
        <v>40</v>
      </c>
      <c r="D41" s="18">
        <f t="shared" si="5"/>
        <v>45929</v>
      </c>
      <c r="E41" s="18">
        <f t="shared" si="4"/>
        <v>45930</v>
      </c>
      <c r="F41" s="18">
        <f t="shared" si="4"/>
        <v>45931</v>
      </c>
      <c r="G41" s="18">
        <f t="shared" si="4"/>
        <v>45932</v>
      </c>
      <c r="H41" s="18">
        <f t="shared" si="4"/>
        <v>45933</v>
      </c>
      <c r="I41" s="18">
        <f t="shared" si="4"/>
        <v>45934</v>
      </c>
      <c r="J41" s="18">
        <f t="shared" si="4"/>
        <v>45935</v>
      </c>
    </row>
    <row r="42" spans="3:10" x14ac:dyDescent="0.3">
      <c r="C42" s="10">
        <v>41</v>
      </c>
      <c r="D42" s="18">
        <f t="shared" si="5"/>
        <v>45936</v>
      </c>
      <c r="E42" s="18">
        <f t="shared" ref="E42:J51" si="6">D42+1</f>
        <v>45937</v>
      </c>
      <c r="F42" s="18">
        <f t="shared" si="6"/>
        <v>45938</v>
      </c>
      <c r="G42" s="18">
        <f t="shared" si="6"/>
        <v>45939</v>
      </c>
      <c r="H42" s="18">
        <f t="shared" si="6"/>
        <v>45940</v>
      </c>
      <c r="I42" s="18">
        <f t="shared" si="6"/>
        <v>45941</v>
      </c>
      <c r="J42" s="18">
        <f t="shared" si="6"/>
        <v>45942</v>
      </c>
    </row>
    <row r="43" spans="3:10" x14ac:dyDescent="0.3">
      <c r="C43" s="10">
        <v>42</v>
      </c>
      <c r="D43" s="18">
        <f t="shared" si="5"/>
        <v>45943</v>
      </c>
      <c r="E43" s="18">
        <f t="shared" si="6"/>
        <v>45944</v>
      </c>
      <c r="F43" s="18">
        <f t="shared" si="6"/>
        <v>45945</v>
      </c>
      <c r="G43" s="18">
        <f t="shared" si="6"/>
        <v>45946</v>
      </c>
      <c r="H43" s="18">
        <f t="shared" si="6"/>
        <v>45947</v>
      </c>
      <c r="I43" s="18">
        <f t="shared" si="6"/>
        <v>45948</v>
      </c>
      <c r="J43" s="18">
        <f t="shared" si="6"/>
        <v>45949</v>
      </c>
    </row>
    <row r="44" spans="3:10" x14ac:dyDescent="0.3">
      <c r="C44" s="10">
        <v>43</v>
      </c>
      <c r="D44" s="18">
        <f t="shared" si="5"/>
        <v>45950</v>
      </c>
      <c r="E44" s="18">
        <f t="shared" si="6"/>
        <v>45951</v>
      </c>
      <c r="F44" s="18">
        <f t="shared" si="6"/>
        <v>45952</v>
      </c>
      <c r="G44" s="18">
        <f t="shared" si="6"/>
        <v>45953</v>
      </c>
      <c r="H44" s="18">
        <f t="shared" si="6"/>
        <v>45954</v>
      </c>
      <c r="I44" s="18">
        <f t="shared" si="6"/>
        <v>45955</v>
      </c>
      <c r="J44" s="18">
        <f t="shared" si="6"/>
        <v>45956</v>
      </c>
    </row>
    <row r="45" spans="3:10" x14ac:dyDescent="0.3">
      <c r="C45" s="10">
        <v>44</v>
      </c>
      <c r="D45" s="18">
        <f t="shared" si="5"/>
        <v>45957</v>
      </c>
      <c r="E45" s="18">
        <f t="shared" si="6"/>
        <v>45958</v>
      </c>
      <c r="F45" s="18">
        <f t="shared" si="6"/>
        <v>45959</v>
      </c>
      <c r="G45" s="18">
        <f t="shared" si="6"/>
        <v>45960</v>
      </c>
      <c r="H45" s="18">
        <f t="shared" si="6"/>
        <v>45961</v>
      </c>
      <c r="I45" s="18">
        <f t="shared" si="6"/>
        <v>45962</v>
      </c>
      <c r="J45" s="18">
        <f t="shared" si="6"/>
        <v>45963</v>
      </c>
    </row>
    <row r="46" spans="3:10" x14ac:dyDescent="0.3">
      <c r="C46" s="10">
        <v>45</v>
      </c>
      <c r="D46" s="18">
        <f t="shared" si="5"/>
        <v>45964</v>
      </c>
      <c r="E46" s="18">
        <f t="shared" si="6"/>
        <v>45965</v>
      </c>
      <c r="F46" s="18">
        <f t="shared" si="6"/>
        <v>45966</v>
      </c>
      <c r="G46" s="18">
        <f t="shared" si="6"/>
        <v>45967</v>
      </c>
      <c r="H46" s="18">
        <f t="shared" si="6"/>
        <v>45968</v>
      </c>
      <c r="I46" s="18">
        <f t="shared" si="6"/>
        <v>45969</v>
      </c>
      <c r="J46" s="18">
        <f t="shared" si="6"/>
        <v>45970</v>
      </c>
    </row>
    <row r="47" spans="3:10" x14ac:dyDescent="0.3">
      <c r="C47" s="10">
        <v>46</v>
      </c>
      <c r="D47" s="18">
        <f t="shared" si="5"/>
        <v>45971</v>
      </c>
      <c r="E47" s="18">
        <f t="shared" si="6"/>
        <v>45972</v>
      </c>
      <c r="F47" s="18">
        <f t="shared" si="6"/>
        <v>45973</v>
      </c>
      <c r="G47" s="18">
        <f t="shared" si="6"/>
        <v>45974</v>
      </c>
      <c r="H47" s="18">
        <f t="shared" si="6"/>
        <v>45975</v>
      </c>
      <c r="I47" s="18">
        <f t="shared" si="6"/>
        <v>45976</v>
      </c>
      <c r="J47" s="18">
        <f t="shared" si="6"/>
        <v>45977</v>
      </c>
    </row>
    <row r="48" spans="3:10" x14ac:dyDescent="0.3">
      <c r="C48" s="10">
        <v>47</v>
      </c>
      <c r="D48" s="18">
        <f t="shared" si="5"/>
        <v>45978</v>
      </c>
      <c r="E48" s="18">
        <f t="shared" si="6"/>
        <v>45979</v>
      </c>
      <c r="F48" s="18">
        <f t="shared" si="6"/>
        <v>45980</v>
      </c>
      <c r="G48" s="18">
        <f t="shared" si="6"/>
        <v>45981</v>
      </c>
      <c r="H48" s="18">
        <f t="shared" si="6"/>
        <v>45982</v>
      </c>
      <c r="I48" s="18">
        <f t="shared" si="6"/>
        <v>45983</v>
      </c>
      <c r="J48" s="18">
        <f t="shared" si="6"/>
        <v>45984</v>
      </c>
    </row>
    <row r="49" spans="3:10" x14ac:dyDescent="0.3">
      <c r="C49" s="10">
        <v>48</v>
      </c>
      <c r="D49" s="18">
        <f t="shared" si="5"/>
        <v>45985</v>
      </c>
      <c r="E49" s="18">
        <f t="shared" si="6"/>
        <v>45986</v>
      </c>
      <c r="F49" s="18">
        <f t="shared" si="6"/>
        <v>45987</v>
      </c>
      <c r="G49" s="18">
        <f t="shared" si="6"/>
        <v>45988</v>
      </c>
      <c r="H49" s="18">
        <f t="shared" si="6"/>
        <v>45989</v>
      </c>
      <c r="I49" s="18">
        <f t="shared" si="6"/>
        <v>45990</v>
      </c>
      <c r="J49" s="18">
        <f t="shared" si="6"/>
        <v>45991</v>
      </c>
    </row>
    <row r="50" spans="3:10" x14ac:dyDescent="0.3">
      <c r="C50" s="10">
        <v>49</v>
      </c>
      <c r="D50" s="18">
        <f t="shared" si="5"/>
        <v>45992</v>
      </c>
      <c r="E50" s="18">
        <f t="shared" si="6"/>
        <v>45993</v>
      </c>
      <c r="F50" s="18">
        <f t="shared" si="6"/>
        <v>45994</v>
      </c>
      <c r="G50" s="18">
        <f t="shared" si="6"/>
        <v>45995</v>
      </c>
      <c r="H50" s="18">
        <f t="shared" si="6"/>
        <v>45996</v>
      </c>
      <c r="I50" s="18">
        <f t="shared" si="6"/>
        <v>45997</v>
      </c>
      <c r="J50" s="18">
        <f t="shared" si="6"/>
        <v>45998</v>
      </c>
    </row>
    <row r="51" spans="3:10" x14ac:dyDescent="0.3">
      <c r="C51" s="10">
        <v>50</v>
      </c>
      <c r="D51" s="18">
        <f t="shared" si="5"/>
        <v>45999</v>
      </c>
      <c r="E51" s="18">
        <f t="shared" si="6"/>
        <v>46000</v>
      </c>
      <c r="F51" s="18">
        <f t="shared" si="6"/>
        <v>46001</v>
      </c>
      <c r="G51" s="18">
        <f t="shared" si="6"/>
        <v>46002</v>
      </c>
      <c r="H51" s="18">
        <f t="shared" si="6"/>
        <v>46003</v>
      </c>
      <c r="I51" s="18">
        <f t="shared" si="6"/>
        <v>46004</v>
      </c>
      <c r="J51" s="18">
        <f t="shared" si="6"/>
        <v>46005</v>
      </c>
    </row>
    <row r="52" spans="3:10" x14ac:dyDescent="0.3">
      <c r="C52" s="10">
        <v>51</v>
      </c>
      <c r="D52" s="18">
        <f t="shared" si="5"/>
        <v>46006</v>
      </c>
      <c r="E52" s="18">
        <f t="shared" ref="E52:J54" si="7">D52+1</f>
        <v>46007</v>
      </c>
      <c r="F52" s="18">
        <f t="shared" si="7"/>
        <v>46008</v>
      </c>
      <c r="G52" s="18">
        <f t="shared" si="7"/>
        <v>46009</v>
      </c>
      <c r="H52" s="18">
        <f t="shared" si="7"/>
        <v>46010</v>
      </c>
      <c r="I52" s="18">
        <f t="shared" si="7"/>
        <v>46011</v>
      </c>
      <c r="J52" s="18">
        <f t="shared" si="7"/>
        <v>46012</v>
      </c>
    </row>
    <row r="53" spans="3:10" x14ac:dyDescent="0.3">
      <c r="C53" s="10">
        <v>52</v>
      </c>
      <c r="D53" s="18">
        <f t="shared" si="5"/>
        <v>46013</v>
      </c>
      <c r="E53" s="18">
        <f t="shared" si="7"/>
        <v>46014</v>
      </c>
      <c r="F53" s="18">
        <f t="shared" si="7"/>
        <v>46015</v>
      </c>
      <c r="G53" s="18">
        <f t="shared" si="7"/>
        <v>46016</v>
      </c>
      <c r="H53" s="18">
        <f t="shared" si="7"/>
        <v>46017</v>
      </c>
      <c r="I53" s="18">
        <f t="shared" si="7"/>
        <v>46018</v>
      </c>
      <c r="J53" s="18">
        <f t="shared" si="7"/>
        <v>46019</v>
      </c>
    </row>
    <row r="54" spans="3:10" x14ac:dyDescent="0.3">
      <c r="C54" s="10">
        <v>53</v>
      </c>
      <c r="D54" s="18">
        <f t="shared" si="5"/>
        <v>46020</v>
      </c>
      <c r="E54" s="18">
        <f t="shared" si="7"/>
        <v>46021</v>
      </c>
      <c r="F54" s="18">
        <f t="shared" si="7"/>
        <v>46022</v>
      </c>
      <c r="G54" s="18">
        <f t="shared" si="7"/>
        <v>46023</v>
      </c>
      <c r="H54" s="18">
        <f t="shared" si="7"/>
        <v>46024</v>
      </c>
      <c r="I54" s="18">
        <f t="shared" si="7"/>
        <v>46025</v>
      </c>
      <c r="J54" s="18">
        <f t="shared" si="7"/>
        <v>46026</v>
      </c>
    </row>
  </sheetData>
  <sheetProtection algorithmName="SHA-512" hashValue="F2iulRIqwzQmHISIi0VYszTPGZEepQbEKwsRd8P23IpYdJkOXMiEvY+anxq2vGibU/9p/RwydN6UdaUYm3cLcQ==" saltValue="2LK8KwXKcF9D/bi3uQaHQw==" spinCount="100000" sheet="1" objects="1" scenarios="1" autoFilter="0" pivotTables="0"/>
  <mergeCells count="1">
    <mergeCell ref="A1:B1"/>
  </mergeCells>
  <phoneticPr fontId="1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442EE-50A7-420B-98E6-04FC0A3A62FA}">
  <sheetPr codeName="Blad55"/>
  <dimension ref="A1:P260"/>
  <sheetViews>
    <sheetView workbookViewId="0">
      <selection activeCell="P18" sqref="P18"/>
    </sheetView>
  </sheetViews>
  <sheetFormatPr defaultRowHeight="14.4" x14ac:dyDescent="0.3"/>
  <cols>
    <col min="1" max="1" width="10" style="1" bestFit="1" customWidth="1"/>
    <col min="2" max="2" width="7" style="1" customWidth="1"/>
    <col min="3" max="3" width="12.44140625" style="12" bestFit="1" customWidth="1"/>
    <col min="4" max="4" width="8" customWidth="1"/>
    <col min="5" max="5" width="30.88671875" customWidth="1"/>
    <col min="8" max="8" width="29.33203125" style="2" bestFit="1" customWidth="1"/>
    <col min="9" max="9" width="13.109375" bestFit="1" customWidth="1"/>
    <col min="10" max="10" width="9.6640625" bestFit="1" customWidth="1"/>
    <col min="11" max="12" width="15.5546875" bestFit="1" customWidth="1"/>
    <col min="13" max="13" width="15.33203125" bestFit="1" customWidth="1"/>
    <col min="15" max="15" width="18.33203125" customWidth="1"/>
    <col min="16" max="16" width="24.33203125" bestFit="1" customWidth="1"/>
  </cols>
  <sheetData>
    <row r="1" spans="1:16" s="2" customFormat="1" x14ac:dyDescent="0.3">
      <c r="A1" s="10" t="s">
        <v>807</v>
      </c>
      <c r="B1" s="10"/>
      <c r="C1" s="2" t="s">
        <v>808</v>
      </c>
      <c r="E1" s="2" t="s">
        <v>809</v>
      </c>
      <c r="H1" s="23" t="s">
        <v>16</v>
      </c>
      <c r="I1" s="22">
        <v>40</v>
      </c>
      <c r="J1" s="26"/>
      <c r="K1" s="28">
        <v>20</v>
      </c>
      <c r="L1" s="26"/>
      <c r="M1" s="27"/>
      <c r="N1" s="23"/>
      <c r="O1" s="2" t="s">
        <v>990</v>
      </c>
      <c r="P1" s="2" t="s">
        <v>989</v>
      </c>
    </row>
    <row r="2" spans="1:16" x14ac:dyDescent="0.3">
      <c r="A2" s="1">
        <v>1</v>
      </c>
      <c r="C2" s="12">
        <v>0</v>
      </c>
      <c r="E2" t="s">
        <v>17</v>
      </c>
      <c r="H2" s="23" t="s">
        <v>20</v>
      </c>
      <c r="I2" s="26" t="s">
        <v>21</v>
      </c>
      <c r="J2" s="26" t="s">
        <v>22</v>
      </c>
      <c r="K2" s="26" t="s">
        <v>23</v>
      </c>
      <c r="L2" s="26" t="s">
        <v>24</v>
      </c>
      <c r="M2" s="27" t="s">
        <v>25</v>
      </c>
      <c r="N2" s="24"/>
      <c r="O2" t="s">
        <v>991</v>
      </c>
      <c r="P2" s="95" t="s">
        <v>995</v>
      </c>
    </row>
    <row r="3" spans="1:16" x14ac:dyDescent="0.3">
      <c r="A3" s="1">
        <v>2</v>
      </c>
      <c r="C3" s="12">
        <v>5</v>
      </c>
      <c r="E3" t="s">
        <v>26</v>
      </c>
      <c r="H3" s="24" t="s">
        <v>28</v>
      </c>
      <c r="I3" t="s">
        <v>29</v>
      </c>
      <c r="J3" t="s">
        <v>30</v>
      </c>
      <c r="K3" s="12">
        <f>$I$1</f>
        <v>40</v>
      </c>
      <c r="L3" s="12">
        <v>0</v>
      </c>
      <c r="M3" s="52">
        <f>K3-L3</f>
        <v>40</v>
      </c>
      <c r="N3" s="51"/>
      <c r="O3" t="s">
        <v>813</v>
      </c>
      <c r="P3" s="4" t="s">
        <v>992</v>
      </c>
    </row>
    <row r="4" spans="1:16" x14ac:dyDescent="0.3">
      <c r="A4" s="1">
        <v>3</v>
      </c>
      <c r="C4" s="12">
        <v>10</v>
      </c>
      <c r="E4" t="s">
        <v>31</v>
      </c>
      <c r="H4" s="24" t="s">
        <v>238</v>
      </c>
      <c r="I4" t="s">
        <v>29</v>
      </c>
      <c r="J4" t="s">
        <v>30</v>
      </c>
      <c r="K4" s="12">
        <f t="shared" ref="K4:K5" si="0">$I$1</f>
        <v>40</v>
      </c>
      <c r="L4" s="12">
        <v>20</v>
      </c>
      <c r="M4" s="52">
        <f t="shared" ref="M4:M22" si="1">K4-L4</f>
        <v>20</v>
      </c>
      <c r="N4" s="51"/>
      <c r="O4" t="s">
        <v>993</v>
      </c>
      <c r="P4" s="4" t="s">
        <v>994</v>
      </c>
    </row>
    <row r="5" spans="1:16" x14ac:dyDescent="0.3">
      <c r="A5" s="1">
        <v>4</v>
      </c>
      <c r="C5" s="12">
        <v>15</v>
      </c>
      <c r="E5" t="s">
        <v>33</v>
      </c>
      <c r="H5" s="24" t="s">
        <v>35</v>
      </c>
      <c r="I5" t="s">
        <v>29</v>
      </c>
      <c r="J5" t="s">
        <v>30</v>
      </c>
      <c r="K5" s="12">
        <f t="shared" si="0"/>
        <v>40</v>
      </c>
      <c r="L5" s="12">
        <v>0</v>
      </c>
      <c r="M5" s="52">
        <f t="shared" si="1"/>
        <v>40</v>
      </c>
      <c r="N5" s="51"/>
      <c r="O5" t="s">
        <v>134</v>
      </c>
    </row>
    <row r="6" spans="1:16" x14ac:dyDescent="0.3">
      <c r="A6" s="1">
        <v>5</v>
      </c>
      <c r="C6" s="12">
        <v>20</v>
      </c>
      <c r="E6" t="s">
        <v>36</v>
      </c>
      <c r="H6" s="24" t="s">
        <v>35</v>
      </c>
      <c r="I6" t="s">
        <v>38</v>
      </c>
      <c r="J6" t="s">
        <v>39</v>
      </c>
      <c r="K6" s="12">
        <f>$K$1</f>
        <v>20</v>
      </c>
      <c r="L6" s="12">
        <v>0</v>
      </c>
      <c r="M6" s="52">
        <f t="shared" si="1"/>
        <v>20</v>
      </c>
      <c r="N6" s="51"/>
    </row>
    <row r="7" spans="1:16" x14ac:dyDescent="0.3">
      <c r="A7" s="1">
        <v>6</v>
      </c>
      <c r="C7" s="12">
        <v>25</v>
      </c>
      <c r="E7" t="s">
        <v>40</v>
      </c>
      <c r="H7" s="24" t="s">
        <v>643</v>
      </c>
      <c r="I7" t="s">
        <v>38</v>
      </c>
      <c r="J7" t="s">
        <v>39</v>
      </c>
      <c r="K7" s="12">
        <f>$K$1</f>
        <v>20</v>
      </c>
      <c r="L7" s="12">
        <v>0</v>
      </c>
      <c r="M7" s="52">
        <f t="shared" si="1"/>
        <v>20</v>
      </c>
      <c r="N7" s="51"/>
    </row>
    <row r="8" spans="1:16" x14ac:dyDescent="0.3">
      <c r="A8" s="1">
        <v>7</v>
      </c>
      <c r="C8" s="12">
        <v>30</v>
      </c>
      <c r="E8" t="s">
        <v>42</v>
      </c>
      <c r="H8" s="24" t="s">
        <v>431</v>
      </c>
      <c r="I8" t="s">
        <v>29</v>
      </c>
      <c r="J8" t="s">
        <v>30</v>
      </c>
      <c r="K8" s="12">
        <f t="shared" ref="K8:K9" si="2">$I$1</f>
        <v>40</v>
      </c>
      <c r="L8" s="12">
        <v>40</v>
      </c>
      <c r="M8" s="52">
        <f t="shared" si="1"/>
        <v>0</v>
      </c>
      <c r="N8" s="51"/>
    </row>
    <row r="9" spans="1:16" x14ac:dyDescent="0.3">
      <c r="A9" s="1">
        <v>8</v>
      </c>
      <c r="C9" s="12">
        <v>35</v>
      </c>
      <c r="E9" t="s">
        <v>44</v>
      </c>
      <c r="H9" s="24" t="s">
        <v>446</v>
      </c>
      <c r="I9" t="s">
        <v>29</v>
      </c>
      <c r="J9" t="s">
        <v>30</v>
      </c>
      <c r="K9" s="12">
        <f t="shared" si="2"/>
        <v>40</v>
      </c>
      <c r="L9" s="12">
        <v>0</v>
      </c>
      <c r="M9" s="52">
        <f t="shared" si="1"/>
        <v>40</v>
      </c>
      <c r="N9" s="51"/>
    </row>
    <row r="10" spans="1:16" x14ac:dyDescent="0.3">
      <c r="A10" s="1">
        <v>9</v>
      </c>
      <c r="C10" s="12">
        <v>40</v>
      </c>
      <c r="E10" t="s">
        <v>46</v>
      </c>
      <c r="H10" s="24" t="s">
        <v>48</v>
      </c>
      <c r="I10" t="s">
        <v>49</v>
      </c>
      <c r="J10" t="s">
        <v>50</v>
      </c>
      <c r="K10" s="12">
        <v>10</v>
      </c>
      <c r="L10" s="12">
        <v>0</v>
      </c>
      <c r="M10" s="52">
        <f t="shared" si="1"/>
        <v>10</v>
      </c>
      <c r="N10" s="51"/>
    </row>
    <row r="11" spans="1:16" x14ac:dyDescent="0.3">
      <c r="A11" s="1">
        <v>10</v>
      </c>
      <c r="C11" s="12">
        <v>45</v>
      </c>
      <c r="H11" s="24" t="s">
        <v>48</v>
      </c>
      <c r="I11" t="s">
        <v>52</v>
      </c>
      <c r="J11" t="s">
        <v>50</v>
      </c>
      <c r="K11" s="12">
        <v>10</v>
      </c>
      <c r="L11" s="12">
        <v>0</v>
      </c>
      <c r="M11" s="52">
        <f t="shared" si="1"/>
        <v>10</v>
      </c>
      <c r="N11" s="51"/>
    </row>
    <row r="12" spans="1:16" x14ac:dyDescent="0.3">
      <c r="A12" s="1" t="s">
        <v>53</v>
      </c>
      <c r="C12" s="12">
        <v>50</v>
      </c>
      <c r="H12" s="24" t="s">
        <v>48</v>
      </c>
      <c r="I12" t="s">
        <v>55</v>
      </c>
      <c r="J12" t="s">
        <v>50</v>
      </c>
      <c r="K12" s="12">
        <v>15</v>
      </c>
      <c r="L12" s="12">
        <v>0</v>
      </c>
      <c r="M12" s="52">
        <f t="shared" si="1"/>
        <v>15</v>
      </c>
      <c r="N12" s="51"/>
    </row>
    <row r="13" spans="1:16" x14ac:dyDescent="0.3">
      <c r="A13" s="1" t="s">
        <v>56</v>
      </c>
      <c r="C13" s="12">
        <v>55</v>
      </c>
      <c r="H13" s="24" t="s">
        <v>587</v>
      </c>
      <c r="I13" t="s">
        <v>29</v>
      </c>
      <c r="J13" t="s">
        <v>30</v>
      </c>
      <c r="K13" s="12">
        <f t="shared" ref="K13:K18" si="3">$I$1</f>
        <v>40</v>
      </c>
      <c r="L13" s="12">
        <v>0</v>
      </c>
      <c r="M13" s="52">
        <f t="shared" si="1"/>
        <v>40</v>
      </c>
      <c r="N13" s="51"/>
    </row>
    <row r="14" spans="1:16" x14ac:dyDescent="0.3">
      <c r="A14" s="1" t="s">
        <v>58</v>
      </c>
      <c r="C14" s="12">
        <v>60</v>
      </c>
      <c r="H14" s="24" t="s">
        <v>627</v>
      </c>
      <c r="I14" t="s">
        <v>29</v>
      </c>
      <c r="J14" t="s">
        <v>30</v>
      </c>
      <c r="K14" s="12">
        <f t="shared" si="3"/>
        <v>40</v>
      </c>
      <c r="L14" s="12">
        <v>20</v>
      </c>
      <c r="M14" s="52">
        <f t="shared" si="1"/>
        <v>20</v>
      </c>
      <c r="N14" s="51"/>
    </row>
    <row r="15" spans="1:16" x14ac:dyDescent="0.3">
      <c r="A15" s="1" t="s">
        <v>60</v>
      </c>
      <c r="C15" s="12">
        <v>65</v>
      </c>
      <c r="H15" s="24" t="s">
        <v>660</v>
      </c>
      <c r="I15" t="s">
        <v>29</v>
      </c>
      <c r="J15" t="s">
        <v>30</v>
      </c>
      <c r="K15" s="12">
        <f t="shared" si="3"/>
        <v>40</v>
      </c>
      <c r="L15" s="12">
        <v>0</v>
      </c>
      <c r="M15" s="52">
        <f t="shared" si="1"/>
        <v>40</v>
      </c>
      <c r="N15" s="51"/>
    </row>
    <row r="16" spans="1:16" x14ac:dyDescent="0.3">
      <c r="A16" s="1" t="s">
        <v>62</v>
      </c>
      <c r="C16" s="12">
        <v>70</v>
      </c>
      <c r="H16" s="24" t="s">
        <v>714</v>
      </c>
      <c r="I16" t="s">
        <v>29</v>
      </c>
      <c r="J16" t="s">
        <v>30</v>
      </c>
      <c r="K16" s="12">
        <f t="shared" si="3"/>
        <v>40</v>
      </c>
      <c r="L16" s="12">
        <v>10</v>
      </c>
      <c r="M16" s="52">
        <f t="shared" si="1"/>
        <v>30</v>
      </c>
      <c r="N16" s="51"/>
    </row>
    <row r="17" spans="1:14" x14ac:dyDescent="0.3">
      <c r="A17" s="1" t="s">
        <v>64</v>
      </c>
      <c r="C17" s="12">
        <v>75</v>
      </c>
      <c r="H17" s="24" t="s">
        <v>737</v>
      </c>
      <c r="I17" t="s">
        <v>29</v>
      </c>
      <c r="J17" t="s">
        <v>30</v>
      </c>
      <c r="K17" s="12">
        <f t="shared" si="3"/>
        <v>40</v>
      </c>
      <c r="L17" s="12">
        <v>0</v>
      </c>
      <c r="M17" s="52">
        <f t="shared" si="1"/>
        <v>40</v>
      </c>
      <c r="N17" s="51"/>
    </row>
    <row r="18" spans="1:14" x14ac:dyDescent="0.3">
      <c r="A18" s="1" t="s">
        <v>66</v>
      </c>
      <c r="C18" s="12">
        <v>80</v>
      </c>
      <c r="H18" s="24" t="s">
        <v>776</v>
      </c>
      <c r="I18" t="s">
        <v>29</v>
      </c>
      <c r="J18" t="s">
        <v>30</v>
      </c>
      <c r="K18" s="12">
        <f t="shared" si="3"/>
        <v>40</v>
      </c>
      <c r="L18" s="12">
        <v>0</v>
      </c>
      <c r="M18" s="52">
        <f t="shared" si="1"/>
        <v>40</v>
      </c>
      <c r="N18" s="51"/>
    </row>
    <row r="19" spans="1:14" x14ac:dyDescent="0.3">
      <c r="A19" s="1" t="s">
        <v>67</v>
      </c>
      <c r="C19" s="12">
        <v>85</v>
      </c>
      <c r="H19" s="24" t="s">
        <v>68</v>
      </c>
      <c r="I19" t="s">
        <v>69</v>
      </c>
      <c r="J19" t="s">
        <v>70</v>
      </c>
      <c r="K19" s="12">
        <v>75</v>
      </c>
      <c r="L19" s="12">
        <v>0</v>
      </c>
      <c r="M19" s="52">
        <f t="shared" si="1"/>
        <v>75</v>
      </c>
      <c r="N19" s="51"/>
    </row>
    <row r="20" spans="1:14" x14ac:dyDescent="0.3">
      <c r="A20" s="1" t="s">
        <v>71</v>
      </c>
      <c r="C20" s="12">
        <v>90</v>
      </c>
      <c r="H20" s="24" t="s">
        <v>797</v>
      </c>
      <c r="I20" t="s">
        <v>29</v>
      </c>
      <c r="J20" t="s">
        <v>30</v>
      </c>
      <c r="K20" s="12">
        <f t="shared" ref="K20" si="4">$I$1</f>
        <v>40</v>
      </c>
      <c r="L20" s="12">
        <v>20</v>
      </c>
      <c r="M20" s="52">
        <f t="shared" si="1"/>
        <v>20</v>
      </c>
      <c r="N20" s="51"/>
    </row>
    <row r="21" spans="1:14" x14ac:dyDescent="0.3">
      <c r="A21" s="1" t="s">
        <v>72</v>
      </c>
      <c r="C21" s="12">
        <v>95</v>
      </c>
      <c r="H21" s="24" t="s">
        <v>800</v>
      </c>
      <c r="I21" t="s">
        <v>38</v>
      </c>
      <c r="J21" t="s">
        <v>39</v>
      </c>
      <c r="K21" s="12">
        <f>$K$1</f>
        <v>20</v>
      </c>
      <c r="L21" s="12">
        <v>0</v>
      </c>
      <c r="M21" s="52">
        <f t="shared" si="1"/>
        <v>20</v>
      </c>
      <c r="N21" s="51"/>
    </row>
    <row r="22" spans="1:14" x14ac:dyDescent="0.3">
      <c r="A22" s="1" t="s">
        <v>73</v>
      </c>
      <c r="C22" s="12">
        <v>100</v>
      </c>
      <c r="H22" s="24" t="s">
        <v>74</v>
      </c>
      <c r="I22" t="s">
        <v>29</v>
      </c>
      <c r="J22" t="s">
        <v>30</v>
      </c>
      <c r="K22" s="12">
        <f t="shared" ref="K22" si="5">$I$1</f>
        <v>40</v>
      </c>
      <c r="L22" s="12">
        <v>0</v>
      </c>
      <c r="M22" s="52">
        <f t="shared" si="1"/>
        <v>40</v>
      </c>
      <c r="N22" s="51"/>
    </row>
    <row r="23" spans="1:14" x14ac:dyDescent="0.3">
      <c r="A23" s="1" t="s">
        <v>75</v>
      </c>
      <c r="C23" s="12">
        <v>350</v>
      </c>
      <c r="H23" s="24"/>
      <c r="M23" s="19"/>
      <c r="N23" s="51"/>
    </row>
    <row r="24" spans="1:14" x14ac:dyDescent="0.3">
      <c r="A24" s="1" t="s">
        <v>76</v>
      </c>
      <c r="C24" s="12">
        <v>400</v>
      </c>
      <c r="H24" s="24"/>
      <c r="M24" s="19"/>
      <c r="N24" s="51"/>
    </row>
    <row r="25" spans="1:14" x14ac:dyDescent="0.3">
      <c r="A25" s="1" t="s">
        <v>77</v>
      </c>
      <c r="C25" s="12">
        <v>450</v>
      </c>
      <c r="H25" s="24"/>
      <c r="M25" s="19"/>
      <c r="N25" s="51"/>
    </row>
    <row r="26" spans="1:14" x14ac:dyDescent="0.3">
      <c r="A26" s="1" t="s">
        <v>78</v>
      </c>
      <c r="C26" s="12">
        <v>500</v>
      </c>
      <c r="H26" s="24"/>
      <c r="M26" s="19"/>
      <c r="N26" s="51"/>
    </row>
    <row r="27" spans="1:14" x14ac:dyDescent="0.3">
      <c r="A27" s="1" t="s">
        <v>79</v>
      </c>
      <c r="C27" s="12">
        <v>600</v>
      </c>
      <c r="H27" s="24"/>
      <c r="M27" s="19"/>
      <c r="N27" s="51"/>
    </row>
    <row r="28" spans="1:14" x14ac:dyDescent="0.3">
      <c r="A28" s="1" t="s">
        <v>80</v>
      </c>
      <c r="C28" s="12">
        <v>650</v>
      </c>
      <c r="H28" s="24"/>
      <c r="M28" s="19"/>
      <c r="N28" s="51"/>
    </row>
    <row r="29" spans="1:14" x14ac:dyDescent="0.3">
      <c r="A29" s="1" t="s">
        <v>81</v>
      </c>
      <c r="C29" s="12">
        <v>750</v>
      </c>
      <c r="H29" s="24"/>
      <c r="M29" s="19"/>
    </row>
    <row r="30" spans="1:14" x14ac:dyDescent="0.3">
      <c r="A30" s="1" t="s">
        <v>82</v>
      </c>
      <c r="C30" s="12">
        <v>850</v>
      </c>
      <c r="H30" s="24"/>
      <c r="M30" s="19"/>
    </row>
    <row r="31" spans="1:14" x14ac:dyDescent="0.3">
      <c r="A31" s="1" t="s">
        <v>83</v>
      </c>
      <c r="C31" s="12">
        <v>900</v>
      </c>
      <c r="H31" s="25"/>
      <c r="I31" s="20"/>
      <c r="J31" s="20"/>
      <c r="K31" s="20"/>
      <c r="L31" s="20"/>
      <c r="M31" s="21"/>
    </row>
    <row r="32" spans="1:14" x14ac:dyDescent="0.3">
      <c r="A32" s="1">
        <v>31</v>
      </c>
      <c r="C32" s="12">
        <v>950</v>
      </c>
    </row>
    <row r="33" spans="1:3" x14ac:dyDescent="0.3">
      <c r="A33" s="1">
        <v>32</v>
      </c>
      <c r="C33" s="12">
        <v>1000</v>
      </c>
    </row>
    <row r="34" spans="1:3" x14ac:dyDescent="0.3">
      <c r="A34" s="1">
        <v>33</v>
      </c>
      <c r="C34" s="12">
        <v>1050</v>
      </c>
    </row>
    <row r="35" spans="1:3" x14ac:dyDescent="0.3">
      <c r="A35" s="1">
        <v>34</v>
      </c>
      <c r="C35" s="12">
        <v>1100</v>
      </c>
    </row>
    <row r="36" spans="1:3" x14ac:dyDescent="0.3">
      <c r="A36" s="1">
        <v>35</v>
      </c>
      <c r="C36" s="12">
        <v>1150</v>
      </c>
    </row>
    <row r="37" spans="1:3" x14ac:dyDescent="0.3">
      <c r="A37" s="1">
        <v>36</v>
      </c>
      <c r="C37" s="12">
        <v>1200</v>
      </c>
    </row>
    <row r="38" spans="1:3" x14ac:dyDescent="0.3">
      <c r="A38" s="1">
        <v>37</v>
      </c>
      <c r="C38" s="12">
        <v>1250</v>
      </c>
    </row>
    <row r="39" spans="1:3" x14ac:dyDescent="0.3">
      <c r="A39" s="1">
        <v>38</v>
      </c>
      <c r="C39" s="12">
        <v>1300</v>
      </c>
    </row>
    <row r="40" spans="1:3" x14ac:dyDescent="0.3">
      <c r="A40" s="1">
        <v>39</v>
      </c>
      <c r="C40" s="12">
        <v>1350</v>
      </c>
    </row>
    <row r="41" spans="1:3" x14ac:dyDescent="0.3">
      <c r="A41" s="1">
        <v>40</v>
      </c>
      <c r="C41" s="12">
        <v>1400</v>
      </c>
    </row>
    <row r="42" spans="1:3" x14ac:dyDescent="0.3">
      <c r="A42" s="1">
        <v>41</v>
      </c>
      <c r="C42" s="12">
        <v>1450</v>
      </c>
    </row>
    <row r="43" spans="1:3" x14ac:dyDescent="0.3">
      <c r="A43" s="1">
        <v>42</v>
      </c>
      <c r="C43" s="12">
        <v>1500</v>
      </c>
    </row>
    <row r="44" spans="1:3" x14ac:dyDescent="0.3">
      <c r="A44" s="1">
        <v>43</v>
      </c>
      <c r="C44" s="12">
        <v>1550</v>
      </c>
    </row>
    <row r="45" spans="1:3" x14ac:dyDescent="0.3">
      <c r="A45" s="1">
        <v>44</v>
      </c>
      <c r="C45" s="12">
        <v>1600</v>
      </c>
    </row>
    <row r="46" spans="1:3" x14ac:dyDescent="0.3">
      <c r="A46" s="1">
        <v>45</v>
      </c>
      <c r="C46" s="12">
        <v>1650</v>
      </c>
    </row>
    <row r="47" spans="1:3" x14ac:dyDescent="0.3">
      <c r="A47" s="1">
        <v>46</v>
      </c>
      <c r="C47" s="12">
        <v>1700</v>
      </c>
    </row>
    <row r="48" spans="1:3" x14ac:dyDescent="0.3">
      <c r="A48" s="1">
        <v>47</v>
      </c>
      <c r="C48" s="12">
        <v>1750</v>
      </c>
    </row>
    <row r="49" spans="1:3" x14ac:dyDescent="0.3">
      <c r="A49" s="1">
        <v>48</v>
      </c>
      <c r="C49" s="12">
        <v>1800</v>
      </c>
    </row>
    <row r="50" spans="1:3" x14ac:dyDescent="0.3">
      <c r="A50" s="1">
        <v>49</v>
      </c>
      <c r="C50" s="12">
        <v>1850</v>
      </c>
    </row>
    <row r="51" spans="1:3" x14ac:dyDescent="0.3">
      <c r="A51" s="1">
        <v>50</v>
      </c>
      <c r="C51" s="12">
        <v>1900</v>
      </c>
    </row>
    <row r="52" spans="1:3" x14ac:dyDescent="0.3">
      <c r="A52" s="1" t="s">
        <v>84</v>
      </c>
      <c r="C52" s="12">
        <v>1950</v>
      </c>
    </row>
    <row r="53" spans="1:3" x14ac:dyDescent="0.3">
      <c r="A53" s="1" t="s">
        <v>85</v>
      </c>
      <c r="C53" s="12">
        <v>2000</v>
      </c>
    </row>
    <row r="54" spans="1:3" x14ac:dyDescent="0.3">
      <c r="A54" s="1" t="s">
        <v>86</v>
      </c>
      <c r="C54" s="12">
        <v>2100</v>
      </c>
    </row>
    <row r="55" spans="1:3" x14ac:dyDescent="0.3">
      <c r="A55" s="1" t="s">
        <v>87</v>
      </c>
      <c r="C55" s="12">
        <v>2200</v>
      </c>
    </row>
    <row r="56" spans="1:3" x14ac:dyDescent="0.3">
      <c r="A56" s="1" t="s">
        <v>88</v>
      </c>
      <c r="C56" s="12">
        <v>2300</v>
      </c>
    </row>
    <row r="57" spans="1:3" x14ac:dyDescent="0.3">
      <c r="A57" s="1" t="s">
        <v>89</v>
      </c>
      <c r="C57" s="12">
        <v>2400</v>
      </c>
    </row>
    <row r="58" spans="1:3" x14ac:dyDescent="0.3">
      <c r="A58" s="1" t="s">
        <v>90</v>
      </c>
      <c r="C58" s="12">
        <v>2500</v>
      </c>
    </row>
    <row r="59" spans="1:3" x14ac:dyDescent="0.3">
      <c r="A59" s="1" t="s">
        <v>91</v>
      </c>
      <c r="C59" s="12">
        <v>2600</v>
      </c>
    </row>
    <row r="60" spans="1:3" x14ac:dyDescent="0.3">
      <c r="A60" s="1" t="s">
        <v>92</v>
      </c>
      <c r="C60" s="12">
        <v>2700</v>
      </c>
    </row>
    <row r="61" spans="1:3" x14ac:dyDescent="0.3">
      <c r="A61" s="1" t="s">
        <v>93</v>
      </c>
      <c r="C61" s="12">
        <v>2800</v>
      </c>
    </row>
    <row r="62" spans="1:3" x14ac:dyDescent="0.3">
      <c r="A62" s="1" t="s">
        <v>94</v>
      </c>
      <c r="C62" s="12">
        <v>2900</v>
      </c>
    </row>
    <row r="63" spans="1:3" x14ac:dyDescent="0.3">
      <c r="A63" s="1" t="s">
        <v>95</v>
      </c>
      <c r="C63" s="12">
        <v>3000</v>
      </c>
    </row>
    <row r="64" spans="1:3" x14ac:dyDescent="0.3">
      <c r="A64" s="1" t="s">
        <v>96</v>
      </c>
      <c r="C64" s="12">
        <v>3250</v>
      </c>
    </row>
    <row r="65" spans="1:3" x14ac:dyDescent="0.3">
      <c r="A65" s="1" t="s">
        <v>97</v>
      </c>
      <c r="C65" s="12">
        <v>3500</v>
      </c>
    </row>
    <row r="66" spans="1:3" x14ac:dyDescent="0.3">
      <c r="A66" s="1" t="s">
        <v>98</v>
      </c>
      <c r="C66" s="12">
        <v>3750</v>
      </c>
    </row>
    <row r="67" spans="1:3" x14ac:dyDescent="0.3">
      <c r="A67" s="1" t="s">
        <v>99</v>
      </c>
      <c r="C67" s="12">
        <v>4000</v>
      </c>
    </row>
    <row r="68" spans="1:3" x14ac:dyDescent="0.3">
      <c r="A68" s="1" t="s">
        <v>100</v>
      </c>
      <c r="C68" s="12">
        <v>4250</v>
      </c>
    </row>
    <row r="69" spans="1:3" x14ac:dyDescent="0.3">
      <c r="A69" s="1" t="s">
        <v>101</v>
      </c>
      <c r="C69" s="12">
        <v>4500</v>
      </c>
    </row>
    <row r="70" spans="1:3" x14ac:dyDescent="0.3">
      <c r="A70" s="1" t="s">
        <v>102</v>
      </c>
      <c r="C70" s="12">
        <v>4750</v>
      </c>
    </row>
    <row r="71" spans="1:3" x14ac:dyDescent="0.3">
      <c r="A71" s="1" t="s">
        <v>103</v>
      </c>
      <c r="C71" s="12">
        <v>5000</v>
      </c>
    </row>
    <row r="72" spans="1:3" x14ac:dyDescent="0.3">
      <c r="A72" s="1" t="s">
        <v>104</v>
      </c>
      <c r="C72" s="12">
        <v>5250</v>
      </c>
    </row>
    <row r="73" spans="1:3" x14ac:dyDescent="0.3">
      <c r="A73" s="1" t="s">
        <v>105</v>
      </c>
      <c r="C73" s="12">
        <v>5500</v>
      </c>
    </row>
    <row r="74" spans="1:3" x14ac:dyDescent="0.3">
      <c r="A74" s="1" t="s">
        <v>106</v>
      </c>
      <c r="C74" s="12">
        <v>5750</v>
      </c>
    </row>
    <row r="75" spans="1:3" x14ac:dyDescent="0.3">
      <c r="A75" s="1" t="s">
        <v>107</v>
      </c>
      <c r="C75" s="12">
        <v>6000</v>
      </c>
    </row>
    <row r="76" spans="1:3" x14ac:dyDescent="0.3">
      <c r="A76" s="1" t="s">
        <v>108</v>
      </c>
      <c r="C76" s="12">
        <v>6250</v>
      </c>
    </row>
    <row r="77" spans="1:3" x14ac:dyDescent="0.3">
      <c r="A77" s="1" t="s">
        <v>109</v>
      </c>
      <c r="C77" s="12">
        <v>6500</v>
      </c>
    </row>
    <row r="78" spans="1:3" x14ac:dyDescent="0.3">
      <c r="A78" s="1" t="s">
        <v>110</v>
      </c>
      <c r="C78" s="12">
        <v>6750</v>
      </c>
    </row>
    <row r="79" spans="1:3" x14ac:dyDescent="0.3">
      <c r="A79" s="1" t="s">
        <v>111</v>
      </c>
      <c r="C79" s="12">
        <v>7000</v>
      </c>
    </row>
    <row r="80" spans="1:3" x14ac:dyDescent="0.3">
      <c r="A80" s="1" t="s">
        <v>112</v>
      </c>
      <c r="C80" s="12">
        <v>7250</v>
      </c>
    </row>
    <row r="81" spans="1:3" x14ac:dyDescent="0.3">
      <c r="A81" s="1" t="s">
        <v>113</v>
      </c>
      <c r="C81" s="12">
        <v>7500</v>
      </c>
    </row>
    <row r="82" spans="1:3" x14ac:dyDescent="0.3">
      <c r="A82" s="1" t="s">
        <v>114</v>
      </c>
      <c r="C82" s="12">
        <v>7750</v>
      </c>
    </row>
    <row r="83" spans="1:3" x14ac:dyDescent="0.3">
      <c r="A83" s="1" t="s">
        <v>115</v>
      </c>
      <c r="C83" s="12">
        <v>8000</v>
      </c>
    </row>
    <row r="84" spans="1:3" x14ac:dyDescent="0.3">
      <c r="A84" s="1" t="s">
        <v>116</v>
      </c>
      <c r="C84" s="12">
        <v>8250</v>
      </c>
    </row>
    <row r="85" spans="1:3" x14ac:dyDescent="0.3">
      <c r="A85" s="1" t="s">
        <v>117</v>
      </c>
      <c r="C85" s="12">
        <v>8500</v>
      </c>
    </row>
    <row r="86" spans="1:3" x14ac:dyDescent="0.3">
      <c r="C86" s="12">
        <v>8750</v>
      </c>
    </row>
    <row r="87" spans="1:3" x14ac:dyDescent="0.3">
      <c r="C87" s="12">
        <v>9000</v>
      </c>
    </row>
    <row r="88" spans="1:3" x14ac:dyDescent="0.3">
      <c r="C88" s="12">
        <v>9250</v>
      </c>
    </row>
    <row r="89" spans="1:3" x14ac:dyDescent="0.3">
      <c r="C89" s="12">
        <v>9500</v>
      </c>
    </row>
    <row r="90" spans="1:3" x14ac:dyDescent="0.3">
      <c r="C90" s="12">
        <v>9750</v>
      </c>
    </row>
    <row r="91" spans="1:3" x14ac:dyDescent="0.3">
      <c r="C91" s="12">
        <v>10000</v>
      </c>
    </row>
    <row r="92" spans="1:3" x14ac:dyDescent="0.3">
      <c r="C92" s="12">
        <v>10250</v>
      </c>
    </row>
    <row r="93" spans="1:3" x14ac:dyDescent="0.3">
      <c r="C93" s="12">
        <v>10500</v>
      </c>
    </row>
    <row r="94" spans="1:3" x14ac:dyDescent="0.3">
      <c r="C94" s="12">
        <v>10750</v>
      </c>
    </row>
    <row r="95" spans="1:3" x14ac:dyDescent="0.3">
      <c r="C95" s="12">
        <v>11000</v>
      </c>
    </row>
    <row r="96" spans="1:3" x14ac:dyDescent="0.3">
      <c r="C96" s="12">
        <v>11250</v>
      </c>
    </row>
    <row r="97" spans="3:3" x14ac:dyDescent="0.3">
      <c r="C97" s="12">
        <v>11500</v>
      </c>
    </row>
    <row r="98" spans="3:3" x14ac:dyDescent="0.3">
      <c r="C98" s="12">
        <v>11750</v>
      </c>
    </row>
    <row r="99" spans="3:3" x14ac:dyDescent="0.3">
      <c r="C99" s="12">
        <v>12000</v>
      </c>
    </row>
    <row r="100" spans="3:3" x14ac:dyDescent="0.3">
      <c r="C100" s="12">
        <v>12250</v>
      </c>
    </row>
    <row r="101" spans="3:3" x14ac:dyDescent="0.3">
      <c r="C101" s="12">
        <v>12500</v>
      </c>
    </row>
    <row r="102" spans="3:3" x14ac:dyDescent="0.3">
      <c r="C102" s="12">
        <v>12750</v>
      </c>
    </row>
    <row r="103" spans="3:3" x14ac:dyDescent="0.3">
      <c r="C103" s="12">
        <v>13000</v>
      </c>
    </row>
    <row r="104" spans="3:3" x14ac:dyDescent="0.3">
      <c r="C104" s="12">
        <v>13250</v>
      </c>
    </row>
    <row r="105" spans="3:3" x14ac:dyDescent="0.3">
      <c r="C105" s="12">
        <v>13500</v>
      </c>
    </row>
    <row r="106" spans="3:3" x14ac:dyDescent="0.3">
      <c r="C106" s="12">
        <v>13750</v>
      </c>
    </row>
    <row r="107" spans="3:3" x14ac:dyDescent="0.3">
      <c r="C107" s="12">
        <v>14000</v>
      </c>
    </row>
    <row r="108" spans="3:3" x14ac:dyDescent="0.3">
      <c r="C108" s="12">
        <v>14250</v>
      </c>
    </row>
    <row r="109" spans="3:3" x14ac:dyDescent="0.3">
      <c r="C109" s="12">
        <v>14500</v>
      </c>
    </row>
    <row r="110" spans="3:3" x14ac:dyDescent="0.3">
      <c r="C110" s="12">
        <v>14750</v>
      </c>
    </row>
    <row r="111" spans="3:3" x14ac:dyDescent="0.3">
      <c r="C111" s="12">
        <v>15000</v>
      </c>
    </row>
    <row r="112" spans="3:3" x14ac:dyDescent="0.3">
      <c r="C112" s="12">
        <v>15250</v>
      </c>
    </row>
    <row r="113" spans="3:3" x14ac:dyDescent="0.3">
      <c r="C113" s="12">
        <v>15500</v>
      </c>
    </row>
    <row r="114" spans="3:3" x14ac:dyDescent="0.3">
      <c r="C114" s="12">
        <v>15750</v>
      </c>
    </row>
    <row r="115" spans="3:3" x14ac:dyDescent="0.3">
      <c r="C115" s="12">
        <v>16000</v>
      </c>
    </row>
    <row r="116" spans="3:3" x14ac:dyDescent="0.3">
      <c r="C116" s="12">
        <v>16250</v>
      </c>
    </row>
    <row r="117" spans="3:3" x14ac:dyDescent="0.3">
      <c r="C117" s="12">
        <v>16500</v>
      </c>
    </row>
    <row r="118" spans="3:3" x14ac:dyDescent="0.3">
      <c r="C118" s="12">
        <v>16750</v>
      </c>
    </row>
    <row r="119" spans="3:3" x14ac:dyDescent="0.3">
      <c r="C119" s="12">
        <v>17000</v>
      </c>
    </row>
    <row r="120" spans="3:3" x14ac:dyDescent="0.3">
      <c r="C120" s="12">
        <v>17250</v>
      </c>
    </row>
    <row r="121" spans="3:3" x14ac:dyDescent="0.3">
      <c r="C121" s="12">
        <v>17500</v>
      </c>
    </row>
    <row r="122" spans="3:3" x14ac:dyDescent="0.3">
      <c r="C122" s="12">
        <v>17750</v>
      </c>
    </row>
    <row r="123" spans="3:3" x14ac:dyDescent="0.3">
      <c r="C123" s="12">
        <v>18000</v>
      </c>
    </row>
    <row r="124" spans="3:3" x14ac:dyDescent="0.3">
      <c r="C124" s="12">
        <v>18250</v>
      </c>
    </row>
    <row r="125" spans="3:3" x14ac:dyDescent="0.3">
      <c r="C125" s="12">
        <v>18500</v>
      </c>
    </row>
    <row r="126" spans="3:3" x14ac:dyDescent="0.3">
      <c r="C126" s="12">
        <v>18750</v>
      </c>
    </row>
    <row r="127" spans="3:3" x14ac:dyDescent="0.3">
      <c r="C127" s="12">
        <v>19000</v>
      </c>
    </row>
    <row r="128" spans="3:3" x14ac:dyDescent="0.3">
      <c r="C128" s="12">
        <v>19250</v>
      </c>
    </row>
    <row r="129" spans="3:3" x14ac:dyDescent="0.3">
      <c r="C129" s="12">
        <v>19500</v>
      </c>
    </row>
    <row r="130" spans="3:3" x14ac:dyDescent="0.3">
      <c r="C130" s="12">
        <v>19750</v>
      </c>
    </row>
    <row r="131" spans="3:3" x14ac:dyDescent="0.3">
      <c r="C131" s="12">
        <v>20000</v>
      </c>
    </row>
    <row r="132" spans="3:3" x14ac:dyDescent="0.3">
      <c r="C132" s="12">
        <v>20250</v>
      </c>
    </row>
    <row r="133" spans="3:3" x14ac:dyDescent="0.3">
      <c r="C133" s="12">
        <v>20500</v>
      </c>
    </row>
    <row r="134" spans="3:3" x14ac:dyDescent="0.3">
      <c r="C134" s="12">
        <v>20750</v>
      </c>
    </row>
    <row r="135" spans="3:3" x14ac:dyDescent="0.3">
      <c r="C135" s="12">
        <v>21000</v>
      </c>
    </row>
    <row r="136" spans="3:3" x14ac:dyDescent="0.3">
      <c r="C136" s="12">
        <v>21250</v>
      </c>
    </row>
    <row r="137" spans="3:3" x14ac:dyDescent="0.3">
      <c r="C137" s="12">
        <v>21500</v>
      </c>
    </row>
    <row r="138" spans="3:3" x14ac:dyDescent="0.3">
      <c r="C138" s="12">
        <v>21750</v>
      </c>
    </row>
    <row r="139" spans="3:3" x14ac:dyDescent="0.3">
      <c r="C139" s="12">
        <v>22000</v>
      </c>
    </row>
    <row r="140" spans="3:3" x14ac:dyDescent="0.3">
      <c r="C140" s="12">
        <v>22250</v>
      </c>
    </row>
    <row r="141" spans="3:3" x14ac:dyDescent="0.3">
      <c r="C141" s="12">
        <v>22500</v>
      </c>
    </row>
    <row r="142" spans="3:3" x14ac:dyDescent="0.3">
      <c r="C142" s="12">
        <v>22750</v>
      </c>
    </row>
    <row r="143" spans="3:3" x14ac:dyDescent="0.3">
      <c r="C143" s="12">
        <v>23000</v>
      </c>
    </row>
    <row r="144" spans="3:3" x14ac:dyDescent="0.3">
      <c r="C144" s="12">
        <v>23250</v>
      </c>
    </row>
    <row r="145" spans="3:3" x14ac:dyDescent="0.3">
      <c r="C145" s="12">
        <v>23500</v>
      </c>
    </row>
    <row r="146" spans="3:3" x14ac:dyDescent="0.3">
      <c r="C146" s="12">
        <v>23750</v>
      </c>
    </row>
    <row r="147" spans="3:3" x14ac:dyDescent="0.3">
      <c r="C147" s="12">
        <v>24000</v>
      </c>
    </row>
    <row r="148" spans="3:3" x14ac:dyDescent="0.3">
      <c r="C148" s="12">
        <v>24250</v>
      </c>
    </row>
    <row r="149" spans="3:3" x14ac:dyDescent="0.3">
      <c r="C149" s="12">
        <v>24500</v>
      </c>
    </row>
    <row r="150" spans="3:3" x14ac:dyDescent="0.3">
      <c r="C150" s="12">
        <v>24750</v>
      </c>
    </row>
    <row r="151" spans="3:3" x14ac:dyDescent="0.3">
      <c r="C151" s="12">
        <v>25000</v>
      </c>
    </row>
    <row r="152" spans="3:3" x14ac:dyDescent="0.3">
      <c r="C152" s="12">
        <v>25250</v>
      </c>
    </row>
    <row r="153" spans="3:3" x14ac:dyDescent="0.3">
      <c r="C153" s="12">
        <v>25500</v>
      </c>
    </row>
    <row r="154" spans="3:3" x14ac:dyDescent="0.3">
      <c r="C154" s="12">
        <v>25750</v>
      </c>
    </row>
    <row r="155" spans="3:3" x14ac:dyDescent="0.3">
      <c r="C155" s="12">
        <v>26000</v>
      </c>
    </row>
    <row r="156" spans="3:3" x14ac:dyDescent="0.3">
      <c r="C156" s="12">
        <v>26250</v>
      </c>
    </row>
    <row r="157" spans="3:3" x14ac:dyDescent="0.3">
      <c r="C157" s="12">
        <v>26500</v>
      </c>
    </row>
    <row r="158" spans="3:3" x14ac:dyDescent="0.3">
      <c r="C158" s="12">
        <v>26750</v>
      </c>
    </row>
    <row r="159" spans="3:3" x14ac:dyDescent="0.3">
      <c r="C159" s="12">
        <v>27000</v>
      </c>
    </row>
    <row r="160" spans="3:3" x14ac:dyDescent="0.3">
      <c r="C160" s="12">
        <v>27250</v>
      </c>
    </row>
    <row r="161" spans="3:3" x14ac:dyDescent="0.3">
      <c r="C161" s="12">
        <v>27500</v>
      </c>
    </row>
    <row r="162" spans="3:3" x14ac:dyDescent="0.3">
      <c r="C162" s="12">
        <v>27750</v>
      </c>
    </row>
    <row r="163" spans="3:3" x14ac:dyDescent="0.3">
      <c r="C163" s="12">
        <v>28000</v>
      </c>
    </row>
    <row r="164" spans="3:3" x14ac:dyDescent="0.3">
      <c r="C164" s="12">
        <v>28250</v>
      </c>
    </row>
    <row r="165" spans="3:3" x14ac:dyDescent="0.3">
      <c r="C165" s="12">
        <v>28500</v>
      </c>
    </row>
    <row r="166" spans="3:3" x14ac:dyDescent="0.3">
      <c r="C166" s="12">
        <v>28750</v>
      </c>
    </row>
    <row r="167" spans="3:3" x14ac:dyDescent="0.3">
      <c r="C167" s="12">
        <v>29000</v>
      </c>
    </row>
    <row r="168" spans="3:3" x14ac:dyDescent="0.3">
      <c r="C168" s="12">
        <v>29250</v>
      </c>
    </row>
    <row r="169" spans="3:3" x14ac:dyDescent="0.3">
      <c r="C169" s="12">
        <v>29500</v>
      </c>
    </row>
    <row r="170" spans="3:3" x14ac:dyDescent="0.3">
      <c r="C170" s="12">
        <v>29750</v>
      </c>
    </row>
    <row r="171" spans="3:3" x14ac:dyDescent="0.3">
      <c r="C171" s="12">
        <v>30000</v>
      </c>
    </row>
    <row r="172" spans="3:3" x14ac:dyDescent="0.3">
      <c r="C172" s="12">
        <v>30250</v>
      </c>
    </row>
    <row r="173" spans="3:3" x14ac:dyDescent="0.3">
      <c r="C173" s="12">
        <v>30500</v>
      </c>
    </row>
    <row r="174" spans="3:3" x14ac:dyDescent="0.3">
      <c r="C174" s="12">
        <v>30750</v>
      </c>
    </row>
    <row r="175" spans="3:3" x14ac:dyDescent="0.3">
      <c r="C175" s="12">
        <v>31000</v>
      </c>
    </row>
    <row r="176" spans="3:3" x14ac:dyDescent="0.3">
      <c r="C176" s="12">
        <v>31250</v>
      </c>
    </row>
    <row r="177" spans="3:3" x14ac:dyDescent="0.3">
      <c r="C177" s="12">
        <v>31500</v>
      </c>
    </row>
    <row r="178" spans="3:3" x14ac:dyDescent="0.3">
      <c r="C178" s="12">
        <v>31750</v>
      </c>
    </row>
    <row r="179" spans="3:3" x14ac:dyDescent="0.3">
      <c r="C179" s="12">
        <v>32000</v>
      </c>
    </row>
    <row r="180" spans="3:3" x14ac:dyDescent="0.3">
      <c r="C180" s="12">
        <v>32250</v>
      </c>
    </row>
    <row r="181" spans="3:3" x14ac:dyDescent="0.3">
      <c r="C181" s="12">
        <v>32500</v>
      </c>
    </row>
    <row r="182" spans="3:3" x14ac:dyDescent="0.3">
      <c r="C182" s="12">
        <v>32750</v>
      </c>
    </row>
    <row r="183" spans="3:3" x14ac:dyDescent="0.3">
      <c r="C183" s="12">
        <v>33000</v>
      </c>
    </row>
    <row r="184" spans="3:3" x14ac:dyDescent="0.3">
      <c r="C184" s="12">
        <v>33250</v>
      </c>
    </row>
    <row r="185" spans="3:3" x14ac:dyDescent="0.3">
      <c r="C185" s="12">
        <v>33500</v>
      </c>
    </row>
    <row r="186" spans="3:3" x14ac:dyDescent="0.3">
      <c r="C186" s="12">
        <v>33750</v>
      </c>
    </row>
    <row r="187" spans="3:3" x14ac:dyDescent="0.3">
      <c r="C187" s="12">
        <v>34000</v>
      </c>
    </row>
    <row r="188" spans="3:3" x14ac:dyDescent="0.3">
      <c r="C188" s="12">
        <v>34250</v>
      </c>
    </row>
    <row r="189" spans="3:3" x14ac:dyDescent="0.3">
      <c r="C189" s="12">
        <v>34500</v>
      </c>
    </row>
    <row r="190" spans="3:3" x14ac:dyDescent="0.3">
      <c r="C190" s="12">
        <v>34750</v>
      </c>
    </row>
    <row r="191" spans="3:3" x14ac:dyDescent="0.3">
      <c r="C191" s="12">
        <v>35000</v>
      </c>
    </row>
    <row r="192" spans="3:3" x14ac:dyDescent="0.3">
      <c r="C192" s="12">
        <v>35250</v>
      </c>
    </row>
    <row r="193" spans="3:3" x14ac:dyDescent="0.3">
      <c r="C193" s="12">
        <v>35500</v>
      </c>
    </row>
    <row r="194" spans="3:3" x14ac:dyDescent="0.3">
      <c r="C194" s="12">
        <v>35750</v>
      </c>
    </row>
    <row r="195" spans="3:3" x14ac:dyDescent="0.3">
      <c r="C195" s="12">
        <v>36000</v>
      </c>
    </row>
    <row r="196" spans="3:3" x14ac:dyDescent="0.3">
      <c r="C196" s="12">
        <v>36250</v>
      </c>
    </row>
    <row r="197" spans="3:3" x14ac:dyDescent="0.3">
      <c r="C197" s="12">
        <v>36500</v>
      </c>
    </row>
    <row r="198" spans="3:3" x14ac:dyDescent="0.3">
      <c r="C198" s="12">
        <v>36750</v>
      </c>
    </row>
    <row r="199" spans="3:3" x14ac:dyDescent="0.3">
      <c r="C199" s="12">
        <v>37000</v>
      </c>
    </row>
    <row r="200" spans="3:3" x14ac:dyDescent="0.3">
      <c r="C200" s="12">
        <v>37250</v>
      </c>
    </row>
    <row r="201" spans="3:3" x14ac:dyDescent="0.3">
      <c r="C201" s="12">
        <v>37500</v>
      </c>
    </row>
    <row r="202" spans="3:3" x14ac:dyDescent="0.3">
      <c r="C202" s="12">
        <v>37750</v>
      </c>
    </row>
    <row r="203" spans="3:3" x14ac:dyDescent="0.3">
      <c r="C203" s="12">
        <v>38000</v>
      </c>
    </row>
    <row r="204" spans="3:3" x14ac:dyDescent="0.3">
      <c r="C204" s="12">
        <v>38250</v>
      </c>
    </row>
    <row r="205" spans="3:3" x14ac:dyDescent="0.3">
      <c r="C205" s="12">
        <v>38500</v>
      </c>
    </row>
    <row r="206" spans="3:3" x14ac:dyDescent="0.3">
      <c r="C206" s="12">
        <v>38750</v>
      </c>
    </row>
    <row r="207" spans="3:3" x14ac:dyDescent="0.3">
      <c r="C207" s="12">
        <v>39000</v>
      </c>
    </row>
    <row r="208" spans="3:3" x14ac:dyDescent="0.3">
      <c r="C208" s="12">
        <v>39250</v>
      </c>
    </row>
    <row r="209" spans="3:3" x14ac:dyDescent="0.3">
      <c r="C209" s="12">
        <v>39500</v>
      </c>
    </row>
    <row r="210" spans="3:3" x14ac:dyDescent="0.3">
      <c r="C210" s="12">
        <v>39750</v>
      </c>
    </row>
    <row r="211" spans="3:3" x14ac:dyDescent="0.3">
      <c r="C211" s="12">
        <v>40000</v>
      </c>
    </row>
    <row r="212" spans="3:3" x14ac:dyDescent="0.3">
      <c r="C212" s="12">
        <v>40250</v>
      </c>
    </row>
    <row r="213" spans="3:3" x14ac:dyDescent="0.3">
      <c r="C213" s="12">
        <v>40500</v>
      </c>
    </row>
    <row r="214" spans="3:3" x14ac:dyDescent="0.3">
      <c r="C214" s="12">
        <v>40750</v>
      </c>
    </row>
    <row r="215" spans="3:3" x14ac:dyDescent="0.3">
      <c r="C215" s="12">
        <v>41000</v>
      </c>
    </row>
    <row r="216" spans="3:3" x14ac:dyDescent="0.3">
      <c r="C216" s="12">
        <v>41250</v>
      </c>
    </row>
    <row r="217" spans="3:3" x14ac:dyDescent="0.3">
      <c r="C217" s="12">
        <v>41500</v>
      </c>
    </row>
    <row r="218" spans="3:3" x14ac:dyDescent="0.3">
      <c r="C218" s="12">
        <v>41750</v>
      </c>
    </row>
    <row r="219" spans="3:3" x14ac:dyDescent="0.3">
      <c r="C219" s="12">
        <v>42000</v>
      </c>
    </row>
    <row r="220" spans="3:3" x14ac:dyDescent="0.3">
      <c r="C220" s="12">
        <v>42250</v>
      </c>
    </row>
    <row r="221" spans="3:3" x14ac:dyDescent="0.3">
      <c r="C221" s="12">
        <v>42500</v>
      </c>
    </row>
    <row r="222" spans="3:3" x14ac:dyDescent="0.3">
      <c r="C222" s="12">
        <v>42750</v>
      </c>
    </row>
    <row r="223" spans="3:3" x14ac:dyDescent="0.3">
      <c r="C223" s="12">
        <v>43000</v>
      </c>
    </row>
    <row r="224" spans="3:3" x14ac:dyDescent="0.3">
      <c r="C224" s="12">
        <v>43250</v>
      </c>
    </row>
    <row r="225" spans="3:3" x14ac:dyDescent="0.3">
      <c r="C225" s="12">
        <v>43500</v>
      </c>
    </row>
    <row r="226" spans="3:3" x14ac:dyDescent="0.3">
      <c r="C226" s="12">
        <v>43750</v>
      </c>
    </row>
    <row r="227" spans="3:3" x14ac:dyDescent="0.3">
      <c r="C227" s="12">
        <v>44000</v>
      </c>
    </row>
    <row r="228" spans="3:3" x14ac:dyDescent="0.3">
      <c r="C228" s="12">
        <v>44250</v>
      </c>
    </row>
    <row r="229" spans="3:3" x14ac:dyDescent="0.3">
      <c r="C229" s="12">
        <v>44500</v>
      </c>
    </row>
    <row r="230" spans="3:3" x14ac:dyDescent="0.3">
      <c r="C230" s="12">
        <v>44750</v>
      </c>
    </row>
    <row r="231" spans="3:3" x14ac:dyDescent="0.3">
      <c r="C231" s="12">
        <v>45000</v>
      </c>
    </row>
    <row r="232" spans="3:3" x14ac:dyDescent="0.3">
      <c r="C232" s="12">
        <v>45250</v>
      </c>
    </row>
    <row r="233" spans="3:3" x14ac:dyDescent="0.3">
      <c r="C233" s="12">
        <v>45500</v>
      </c>
    </row>
    <row r="234" spans="3:3" x14ac:dyDescent="0.3">
      <c r="C234" s="12">
        <v>45750</v>
      </c>
    </row>
    <row r="235" spans="3:3" x14ac:dyDescent="0.3">
      <c r="C235" s="12">
        <v>46000</v>
      </c>
    </row>
    <row r="236" spans="3:3" x14ac:dyDescent="0.3">
      <c r="C236" s="12">
        <v>46250</v>
      </c>
    </row>
    <row r="237" spans="3:3" x14ac:dyDescent="0.3">
      <c r="C237" s="12">
        <v>46500</v>
      </c>
    </row>
    <row r="238" spans="3:3" x14ac:dyDescent="0.3">
      <c r="C238" s="12">
        <v>46750</v>
      </c>
    </row>
    <row r="239" spans="3:3" x14ac:dyDescent="0.3">
      <c r="C239" s="12">
        <v>47000</v>
      </c>
    </row>
    <row r="240" spans="3:3" x14ac:dyDescent="0.3">
      <c r="C240" s="12">
        <v>47250</v>
      </c>
    </row>
    <row r="241" spans="3:3" x14ac:dyDescent="0.3">
      <c r="C241" s="12">
        <v>47500</v>
      </c>
    </row>
    <row r="242" spans="3:3" x14ac:dyDescent="0.3">
      <c r="C242" s="12">
        <v>47750</v>
      </c>
    </row>
    <row r="243" spans="3:3" x14ac:dyDescent="0.3">
      <c r="C243" s="12">
        <v>48000</v>
      </c>
    </row>
    <row r="244" spans="3:3" x14ac:dyDescent="0.3">
      <c r="C244" s="12">
        <v>48250</v>
      </c>
    </row>
    <row r="245" spans="3:3" x14ac:dyDescent="0.3">
      <c r="C245" s="12">
        <v>48500</v>
      </c>
    </row>
    <row r="246" spans="3:3" x14ac:dyDescent="0.3">
      <c r="C246" s="12">
        <v>48750</v>
      </c>
    </row>
    <row r="247" spans="3:3" x14ac:dyDescent="0.3">
      <c r="C247" s="12">
        <v>49000</v>
      </c>
    </row>
    <row r="248" spans="3:3" x14ac:dyDescent="0.3">
      <c r="C248" s="12">
        <v>49250</v>
      </c>
    </row>
    <row r="249" spans="3:3" x14ac:dyDescent="0.3">
      <c r="C249" s="12">
        <v>49500</v>
      </c>
    </row>
    <row r="250" spans="3:3" x14ac:dyDescent="0.3">
      <c r="C250" s="12">
        <v>49750</v>
      </c>
    </row>
    <row r="251" spans="3:3" x14ac:dyDescent="0.3">
      <c r="C251" s="12">
        <v>50000</v>
      </c>
    </row>
    <row r="252" spans="3:3" x14ac:dyDescent="0.3">
      <c r="C252" s="12" t="s">
        <v>118</v>
      </c>
    </row>
    <row r="253" spans="3:3" x14ac:dyDescent="0.3">
      <c r="C253" s="12" t="s">
        <v>119</v>
      </c>
    </row>
    <row r="254" spans="3:3" x14ac:dyDescent="0.3">
      <c r="C254" s="12" t="s">
        <v>120</v>
      </c>
    </row>
    <row r="255" spans="3:3" x14ac:dyDescent="0.3">
      <c r="C255" s="12" t="s">
        <v>121</v>
      </c>
    </row>
    <row r="256" spans="3:3" x14ac:dyDescent="0.3">
      <c r="C256" s="12" t="s">
        <v>122</v>
      </c>
    </row>
    <row r="257" spans="3:3" x14ac:dyDescent="0.3">
      <c r="C257" s="12" t="s">
        <v>123</v>
      </c>
    </row>
    <row r="258" spans="3:3" x14ac:dyDescent="0.3">
      <c r="C258" s="12" t="s">
        <v>124</v>
      </c>
    </row>
    <row r="259" spans="3:3" x14ac:dyDescent="0.3">
      <c r="C259" s="12" t="s">
        <v>125</v>
      </c>
    </row>
    <row r="260" spans="3:3" x14ac:dyDescent="0.3">
      <c r="C260" s="12">
        <v>449</v>
      </c>
    </row>
  </sheetData>
  <sheetProtection algorithmName="SHA-512" hashValue="7JBtY6/yl+5f0atadhEV3PiE7Xci0Mi05nIHJ+UpBb1QnFDSG2N+D0YIXR2RRS1XiH0lp0AcMDsUvh6pM9p5LQ==" saltValue="42qvUZ+uM8G0rFXRlCqpKA==" spinCount="100000" sheet="1" objects="1" scenarios="1" autoFilter="0" pivotTables="0"/>
  <hyperlinks>
    <hyperlink ref="P3" r:id="rId1" xr:uid="{5E102CAC-DDC3-4576-B750-EE6F4E0F1B71}"/>
    <hyperlink ref="P4" r:id="rId2" xr:uid="{0D818292-27B4-4DE5-BC8B-0B3603A265D1}"/>
    <hyperlink ref="P2" r:id="rId3" xr:uid="{490FC6E5-F98D-4CE4-8986-2D1D394D065A}"/>
  </hyperlinks>
  <pageMargins left="0.7" right="0.7" top="0.75" bottom="0.75" header="0.3" footer="0.3"/>
  <tableParts count="4">
    <tablePart r:id="rId4"/>
    <tablePart r:id="rId5"/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F46055-C129-4247-9F5A-EE569C47D619}">
          <x14:formula1>
            <xm:f>Kontaktuppgifter!$A$2:$A$300</xm:f>
          </x14:formula1>
          <xm:sqref>H3:H31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706DF-B6F2-4299-81E0-2FCAEB5F47D7}">
  <sheetPr codeName="Blad27"/>
  <dimension ref="A1:BT46"/>
  <sheetViews>
    <sheetView topLeftCell="BA1" workbookViewId="0">
      <selection activeCell="BH1" sqref="BH1:BI1048576"/>
    </sheetView>
  </sheetViews>
  <sheetFormatPr defaultRowHeight="14.4" x14ac:dyDescent="0.3"/>
  <cols>
    <col min="1" max="1" width="7.33203125" hidden="1" customWidth="1"/>
    <col min="2" max="2" width="10.33203125" style="161" hidden="1" customWidth="1"/>
    <col min="3" max="3" width="6.5546875" style="166" hidden="1" customWidth="1"/>
    <col min="4" max="4" width="5.5546875" style="167" hidden="1" customWidth="1"/>
    <col min="5" max="5" width="6.33203125" hidden="1" customWidth="1"/>
    <col min="6" max="6" width="21.6640625" hidden="1" customWidth="1"/>
    <col min="7" max="7" width="32.33203125" hidden="1" customWidth="1"/>
    <col min="8" max="8" width="8.5546875" style="168" hidden="1" customWidth="1"/>
    <col min="9" max="9" width="10.109375" hidden="1" customWidth="1"/>
    <col min="10" max="10" width="19" hidden="1" customWidth="1"/>
    <col min="11" max="11" width="8.6640625" hidden="1" customWidth="1"/>
    <col min="12" max="13" width="8.88671875" hidden="1" customWidth="1"/>
    <col min="14" max="14" width="7.33203125" hidden="1" customWidth="1"/>
    <col min="15" max="15" width="10.33203125" style="161" hidden="1" customWidth="1"/>
    <col min="16" max="16" width="6.5546875" style="166" hidden="1" customWidth="1"/>
    <col min="17" max="17" width="5.5546875" style="167" hidden="1" customWidth="1"/>
    <col min="18" max="18" width="6.33203125" hidden="1" customWidth="1"/>
    <col min="19" max="19" width="21.6640625" hidden="1" customWidth="1"/>
    <col min="20" max="20" width="32.33203125" hidden="1" customWidth="1"/>
    <col min="21" max="21" width="8.5546875" style="168" hidden="1" customWidth="1"/>
    <col min="22" max="22" width="10.109375" hidden="1" customWidth="1"/>
    <col min="23" max="23" width="19" hidden="1" customWidth="1"/>
    <col min="24" max="24" width="8.6640625" hidden="1" customWidth="1"/>
    <col min="25" max="26" width="8.88671875" hidden="1" customWidth="1"/>
    <col min="27" max="27" width="7.33203125" hidden="1" customWidth="1"/>
    <col min="28" max="28" width="10.33203125" style="161" hidden="1" customWidth="1"/>
    <col min="29" max="29" width="6.5546875" style="166" hidden="1" customWidth="1"/>
    <col min="30" max="30" width="5.5546875" style="167" hidden="1" customWidth="1"/>
    <col min="31" max="31" width="6.33203125" hidden="1" customWidth="1"/>
    <col min="32" max="32" width="21.6640625" hidden="1" customWidth="1"/>
    <col min="33" max="33" width="32.33203125" hidden="1" customWidth="1"/>
    <col min="34" max="34" width="8.5546875" style="168" hidden="1" customWidth="1"/>
    <col min="35" max="35" width="10.109375" hidden="1" customWidth="1"/>
    <col min="36" max="36" width="19" hidden="1" customWidth="1"/>
    <col min="37" max="37" width="8.6640625" hidden="1" customWidth="1"/>
    <col min="38" max="40" width="8.88671875" hidden="1" customWidth="1"/>
    <col min="41" max="41" width="10.44140625" hidden="1" customWidth="1"/>
    <col min="42" max="42" width="8.88671875" hidden="1" customWidth="1"/>
    <col min="43" max="43" width="10.33203125" style="161" hidden="1" customWidth="1"/>
    <col min="44" max="44" width="6.5546875" style="166" hidden="1" customWidth="1"/>
    <col min="45" max="45" width="5.5546875" style="167" hidden="1" customWidth="1"/>
    <col min="46" max="46" width="6.33203125" hidden="1" customWidth="1"/>
    <col min="47" max="47" width="21.6640625" hidden="1" customWidth="1"/>
    <col min="48" max="48" width="32.33203125" hidden="1" customWidth="1"/>
    <col min="49" max="49" width="8.5546875" style="168" hidden="1" customWidth="1"/>
    <col min="50" max="50" width="10.109375" hidden="1" customWidth="1"/>
    <col min="51" max="51" width="19" hidden="1" customWidth="1"/>
    <col min="52" max="52" width="8.6640625" hidden="1" customWidth="1"/>
    <col min="53" max="53" width="39" customWidth="1"/>
    <col min="54" max="54" width="10.44140625" style="158" customWidth="1"/>
    <col min="55" max="55" width="13.109375" customWidth="1"/>
    <col min="56" max="56" width="13.5546875" customWidth="1"/>
    <col min="57" max="57" width="11" customWidth="1"/>
    <col min="58" max="58" width="41.88671875" customWidth="1"/>
    <col min="60" max="60" width="10.33203125" hidden="1" customWidth="1"/>
    <col min="61" max="61" width="10.6640625" hidden="1" customWidth="1"/>
  </cols>
  <sheetData>
    <row r="1" spans="1:72" x14ac:dyDescent="0.3">
      <c r="A1" s="2" t="s">
        <v>0</v>
      </c>
      <c r="B1" s="162" t="s">
        <v>1</v>
      </c>
      <c r="C1" s="163" t="s">
        <v>824</v>
      </c>
      <c r="D1" s="164" t="s">
        <v>2</v>
      </c>
      <c r="E1" s="2" t="s">
        <v>3</v>
      </c>
      <c r="F1" s="2" t="s">
        <v>4</v>
      </c>
      <c r="G1" s="2" t="s">
        <v>5</v>
      </c>
      <c r="H1" s="165" t="s">
        <v>809</v>
      </c>
      <c r="I1" s="2" t="s">
        <v>810</v>
      </c>
      <c r="J1" s="2" t="s">
        <v>6</v>
      </c>
      <c r="K1" s="2" t="s">
        <v>812</v>
      </c>
      <c r="L1" s="10" t="s">
        <v>996</v>
      </c>
      <c r="N1" s="2" t="s">
        <v>0</v>
      </c>
      <c r="O1" s="162" t="s">
        <v>1</v>
      </c>
      <c r="P1" s="163" t="s">
        <v>824</v>
      </c>
      <c r="Q1" s="164" t="s">
        <v>2</v>
      </c>
      <c r="R1" s="2" t="s">
        <v>3</v>
      </c>
      <c r="S1" s="2" t="s">
        <v>4</v>
      </c>
      <c r="T1" s="2" t="s">
        <v>5</v>
      </c>
      <c r="U1" s="165" t="s">
        <v>809</v>
      </c>
      <c r="V1" s="2" t="s">
        <v>810</v>
      </c>
      <c r="W1" s="2" t="s">
        <v>6</v>
      </c>
      <c r="X1" s="2" t="s">
        <v>812</v>
      </c>
      <c r="Y1" s="10" t="s">
        <v>997</v>
      </c>
      <c r="AA1" s="2" t="s">
        <v>0</v>
      </c>
      <c r="AB1" s="162" t="s">
        <v>1</v>
      </c>
      <c r="AC1" s="163" t="s">
        <v>824</v>
      </c>
      <c r="AD1" s="164" t="s">
        <v>2</v>
      </c>
      <c r="AE1" s="2" t="s">
        <v>3</v>
      </c>
      <c r="AF1" s="2" t="s">
        <v>4</v>
      </c>
      <c r="AG1" s="2" t="s">
        <v>5</v>
      </c>
      <c r="AH1" s="165" t="s">
        <v>809</v>
      </c>
      <c r="AI1" s="2" t="s">
        <v>810</v>
      </c>
      <c r="AJ1" s="2" t="s">
        <v>6</v>
      </c>
      <c r="AK1" s="2" t="s">
        <v>812</v>
      </c>
      <c r="AL1" s="10" t="s">
        <v>998</v>
      </c>
      <c r="AO1" s="161">
        <f>DATE(Kalenderår!A1, 7, 1)</f>
        <v>45839</v>
      </c>
      <c r="AQ1" s="162" t="s">
        <v>1</v>
      </c>
      <c r="AR1" s="163" t="s">
        <v>824</v>
      </c>
      <c r="AS1" s="164" t="s">
        <v>2</v>
      </c>
      <c r="AT1" s="2" t="s">
        <v>3</v>
      </c>
      <c r="AU1" s="2" t="s">
        <v>4</v>
      </c>
      <c r="AV1" s="2" t="s">
        <v>5</v>
      </c>
      <c r="AW1" s="165" t="s">
        <v>809</v>
      </c>
      <c r="AX1" s="2" t="s">
        <v>810</v>
      </c>
      <c r="AY1" s="2" t="s">
        <v>6</v>
      </c>
      <c r="AZ1" s="2" t="s">
        <v>812</v>
      </c>
      <c r="BA1" s="10" t="s">
        <v>1015</v>
      </c>
      <c r="BB1" s="156"/>
      <c r="BC1" s="159" t="s">
        <v>1017</v>
      </c>
      <c r="BD1" s="160"/>
      <c r="BF1" t="s">
        <v>1016</v>
      </c>
      <c r="BH1" s="161">
        <f>DATE(Kalenderår!A1, 1, 1)</f>
        <v>45658</v>
      </c>
      <c r="BI1" s="161">
        <f>DATE(Kalenderår!A1, 12, 31)</f>
        <v>46022</v>
      </c>
    </row>
    <row r="2" spans="1:72" x14ac:dyDescent="0.3">
      <c r="A2" t="str" cm="1">
        <f t="array" ref="A2">_xlfn._xlws.FILTER(_xlfn.VSTACK('V. 1, 30 dec-5 jan:V. 1, 29 dec-4 jan'!A3:K75),(_xlfn.VSTACK('V. 1, 30 dec-5 jan:V. 1, 29 dec-4 jan'!F3:F75)='Bokningsbekräftelse VT'!A5)*(_xlfn.VSTACK('V. 1, 30 dec-5 jan:V. 1, 29 dec-4 jan'!B3:B75)&lt;AO1),"")</f>
        <v/>
      </c>
      <c r="N2" t="str" cm="1">
        <f t="array" ref="N2">_xlfn._xlws.FILTER(_xlfn.VSTACK('V. 1, 30 dec-5 jan:V. 1, 29 dec-4 jan'!A3:K75),(_xlfn.VSTACK('V. 1, 30 dec-5 jan:V. 1, 29 dec-4 jan'!F3:F75)='Bokningsbekräftelse HT'!A5)*(_xlfn.VSTACK('V. 1, 30 dec-5 jan:V. 1, 29 dec-4 jan'!B3:B75)&gt;=AO1),"")</f>
        <v/>
      </c>
      <c r="AA2" t="str" cm="1">
        <f t="array" ref="AA2">_xlfn._xlws.FILTER(_xlfn.VSTACK('V. 1, 30 dec-5 jan:V. 1, 29 dec-4 jan'!A3:K75),(_xlfn.VSTACK('V. 1, 30 dec-5 jan:V. 1, 29 dec-4 jan'!F3:F75)=Fakturamall!C2)*(_xlfn.VSTACK('V. 1, 30 dec-5 jan:V. 1, 29 dec-4 jan'!K3:K75)=FALSE),"")</f>
        <v/>
      </c>
      <c r="AQ2" s="161" cm="1">
        <f t="array" ref="AQ2:AZ9">_xlfn._xlws.FILTER(_xlfn.VSTACK('V. 1, 30 dec-5 jan:V. 1, 29 dec-4 jan'!B3:K75),(_xlfn.VSTACK('V. 1, 30 dec-5 jan:V. 1, 29 dec-4 jan'!F3:F75)&lt;&gt;"")*(_xlfn.VSTACK('V. 1, 30 dec-5 jan:V. 1, 29 dec-4 jan'!K3:K75)=FALSE)*(_xlfn.VSTACK('V. 1, 30 dec-5 jan:V. 1, 29 dec-4 jan'!G3:G75)&lt;&gt;"Faktureras ej")*(_xlfn.VSTACK('V. 1, 30 dec-5 jan:V. 1, 29 dec-4 jan'!H3:H75)&lt;&gt;"Faktureras ej")*(_xlfn.VSTACK('V. 1, 30 dec-5 jan:V. 1, 29 dec-4 jan'!F3:F75)&lt;&gt;BF2)*(_xlfn.VSTACK('V. 1, 30 dec-5 jan:V. 1, 29 dec-4 jan'!F3:F75)&lt;&gt;BF3)*(_xlfn.VSTACK('V. 1, 30 dec-5 jan:V. 1, 29 dec-4 jan'!F3:F75)&lt;&gt;BF4)*(_xlfn.VSTACK('V. 1, 30 dec-5 jan:V. 1, 29 dec-4 jan'!F3:F75)&lt;&gt;BF5)*(_xlfn.VSTACK('V. 1, 30 dec-5 jan:V. 1, 29 dec-4 jan'!F3:F75)&lt;&gt;BF6)*(_xlfn.VSTACK('V. 1, 30 dec-5 jan:V. 1, 29 dec-4 jan'!F3:F75)&lt;&gt;BF7)*(_xlfn.VSTACK('V. 1, 30 dec-5 jan:V. 1, 29 dec-4 jan'!F3:F75)&lt;&gt;BF8)*(_xlfn.VSTACK('V. 1, 30 dec-5 jan:V. 1, 29 dec-4 jan'!F3:F75)&lt;&gt;BF9)*(_xlfn.VSTACK('V. 1, 30 dec-5 jan:V. 1, 29 dec-4 jan'!F3:F75)&lt;&gt;BF10)*(_xlfn.VSTACK('V. 1, 30 dec-5 jan:V. 1, 29 dec-4 jan'!F3:F75)&lt;&gt;BF11)*(_xlfn.VSTACK('V. 1, 30 dec-5 jan:V. 1, 29 dec-4 jan'!F3:F75)&lt;&gt;BF12)*(_xlfn.VSTACK('V. 1, 30 dec-5 jan:V. 1, 29 dec-4 jan'!F3:F75)&lt;&gt;BF13)*(_xlfn.VSTACK('V. 1, 30 dec-5 jan:V. 1, 29 dec-4 jan'!F3:F75)&lt;&gt;BF14)*(_xlfn.VSTACK('V. 1, 30 dec-5 jan:V. 1, 29 dec-4 jan'!F3:F75)&lt;&gt;BF15)*(_xlfn.VSTACK('V. 1, 30 dec-5 jan:V. 1, 29 dec-4 jan'!F3:F75)&lt;&gt;BF16)*(_xlfn.VSTACK('V. 1, 30 dec-5 jan:V. 1, 29 dec-4 jan'!F3:F75)&lt;&gt;BF17)*(_xlfn.VSTACK('V. 1, 30 dec-5 jan:V. 1, 29 dec-4 jan'!F3:F75)&lt;&gt;BF18)*(_xlfn.VSTACK('V. 1, 30 dec-5 jan:V. 1, 29 dec-4 jan'!F3:F75)&lt;&gt;BF19)*(_xlfn.VSTACK('V. 1, 30 dec-5 jan:V. 1, 29 dec-4 jan'!F3:F75)&lt;&gt;BF20)*(_xlfn.VSTACK('V. 1, 30 dec-5 jan:V. 1, 29 dec-4 jan'!F3:F75)&lt;&gt;BF21)*(_xlfn.VSTACK('V. 1, 30 dec-5 jan:V. 1, 29 dec-4 jan'!F3:F75)&lt;&gt;BF22)*(_xlfn.VSTACK('V. 1, 30 dec-5 jan:V. 1, 29 dec-4 jan'!F3:F75)&lt;&gt;BF23)*(_xlfn.VSTACK('V. 1, 30 dec-5 jan:V. 1, 29 dec-4 jan'!F3:F75)&lt;&gt;BF24)*(_xlfn.VSTACK('V. 1, 30 dec-5 jan:V. 1, 29 dec-4 jan'!F3:F75)&lt;&gt;BF25)*(_xlfn.VSTACK('V. 1, 30 dec-5 jan:V. 1, 29 dec-4 jan'!F3:F75)&lt;&gt;BF26)*(_xlfn.VSTACK('V. 1, 30 dec-5 jan:V. 1, 29 dec-4 jan'!F3:F75)&lt;&gt;BF27)*(_xlfn.VSTACK('V. 1, 30 dec-5 jan:V. 1, 29 dec-4 jan'!F3:F75)&lt;&gt;BF28)*(_xlfn.VSTACK('V. 1, 30 dec-5 jan:V. 1, 29 dec-4 jan'!F3:F75)&lt;&gt;BF29)*(_xlfn.VSTACK('V. 1, 30 dec-5 jan:V. 1, 29 dec-4 jan'!F3:F75)&lt;&gt;BF30)*(_xlfn.VSTACK('V. 1, 30 dec-5 jan:V. 1, 29 dec-4 jan'!F3:F75)&lt;&gt;BF31)*(_xlfn.VSTACK('V. 1, 30 dec-5 jan:V. 1, 29 dec-4 jan'!F3:F75)&lt;&gt;BF32)*(_xlfn.VSTACK('V. 1, 30 dec-5 jan:V. 1, 29 dec-4 jan'!F3:F75)&lt;&gt;BF33)*(_xlfn.VSTACK('V. 1, 30 dec-5 jan:V. 1, 29 dec-4 jan'!F3:F75)&lt;&gt;BF34)*(_xlfn.VSTACK('V. 1, 30 dec-5 jan:V. 1, 29 dec-4 jan'!F3:F75)&lt;&gt;BF35)*(_xlfn.VSTACK('V. 1, 30 dec-5 jan:V. 1, 29 dec-4 jan'!F3:F75)&lt;&gt;BF36)*(_xlfn.VSTACK('V. 1, 30 dec-5 jan:V. 1, 29 dec-4 jan'!F3:F75)&lt;&gt;BF37)*(_xlfn.VSTACK('V. 1, 30 dec-5 jan:V. 1, 29 dec-4 jan'!B3:B75)&gt;=BC2)*(_xlfn.VSTACK('V. 1, 30 dec-5 jan:V. 1, 29 dec-4 jan'!B3:B75)&lt;=BD2),"")</f>
        <v>45873</v>
      </c>
      <c r="AR2" s="166">
        <v>0.33333333333333331</v>
      </c>
      <c r="AS2" s="167">
        <v>0.39583333333333331</v>
      </c>
      <c r="AT2" t="str">
        <v>20</v>
      </c>
      <c r="AU2" t="str">
        <v>Västerås IK Hockey, A-lag</v>
      </c>
      <c r="AV2">
        <v>0</v>
      </c>
      <c r="AW2" s="168">
        <v>0</v>
      </c>
      <c r="AX2">
        <v>0</v>
      </c>
      <c r="AY2">
        <v>0</v>
      </c>
      <c r="AZ2">
        <v>0</v>
      </c>
      <c r="BA2" t="str" cm="1">
        <f t="array" ref="BA2:BA9">IFERROR(_xlfn.UNIQUE(_xlfn._xlws.FILTER(AU2:AU300,AU2:AU300&lt;&gt;"")),"")</f>
        <v>Västerås IK Hockey, A-lag</v>
      </c>
      <c r="BB2" s="157" t="b">
        <v>0</v>
      </c>
      <c r="BC2" s="155">
        <v>45839</v>
      </c>
      <c r="BD2" s="155">
        <v>45900</v>
      </c>
      <c r="BE2" s="161"/>
      <c r="BF2" t="s">
        <v>873</v>
      </c>
    </row>
    <row r="3" spans="1:72" x14ac:dyDescent="0.3">
      <c r="AQ3" s="161">
        <v>45874</v>
      </c>
      <c r="AR3" s="166">
        <v>0.33333333333333331</v>
      </c>
      <c r="AS3" s="167">
        <v>0.5</v>
      </c>
      <c r="AT3" t="str">
        <v>25</v>
      </c>
      <c r="AU3" t="str">
        <v>VIK Hockey</v>
      </c>
      <c r="AV3">
        <v>0</v>
      </c>
      <c r="AW3" s="168">
        <v>0</v>
      </c>
      <c r="AX3">
        <v>0</v>
      </c>
      <c r="AY3">
        <v>0</v>
      </c>
      <c r="AZ3">
        <v>0</v>
      </c>
      <c r="BA3" t="str">
        <v>VIK Hockey</v>
      </c>
      <c r="BB3" s="157" t="b">
        <v>0</v>
      </c>
      <c r="BF3" t="s">
        <v>238</v>
      </c>
      <c r="BT3" t="str">
        <f>BM10&amp;BM11&amp;BM12&amp;BM13&amp;BM14&amp;BM15&amp;BM16&amp;BM17&amp;BM18&amp;BM19&amp;BM20</f>
        <v/>
      </c>
    </row>
    <row r="4" spans="1:72" x14ac:dyDescent="0.3">
      <c r="AQ4" s="161">
        <v>45875</v>
      </c>
      <c r="AR4" s="166">
        <v>0.6875</v>
      </c>
      <c r="AS4" s="167">
        <v>0.8125</v>
      </c>
      <c r="AT4" t="str">
        <v>25</v>
      </c>
      <c r="AU4" t="str">
        <v>Västerås Rönnby IBK</v>
      </c>
      <c r="AV4">
        <v>0</v>
      </c>
      <c r="AW4" s="168">
        <v>0</v>
      </c>
      <c r="AX4">
        <v>0</v>
      </c>
      <c r="AY4">
        <v>0</v>
      </c>
      <c r="AZ4">
        <v>0</v>
      </c>
      <c r="BA4" t="str">
        <v>Västerås Rönnby IBK</v>
      </c>
      <c r="BB4" s="157" t="b">
        <v>0</v>
      </c>
      <c r="BF4" t="s">
        <v>218</v>
      </c>
    </row>
    <row r="5" spans="1:72" x14ac:dyDescent="0.3">
      <c r="AQ5" s="161">
        <v>45876</v>
      </c>
      <c r="AR5" s="166">
        <v>0.66666666666666663</v>
      </c>
      <c r="AS5" s="167">
        <v>0.8125</v>
      </c>
      <c r="AT5" t="str">
        <v>25</v>
      </c>
      <c r="AU5" t="str">
        <v>Skälby Sharks</v>
      </c>
      <c r="AV5">
        <v>0</v>
      </c>
      <c r="AW5" s="168">
        <v>0</v>
      </c>
      <c r="AX5">
        <v>0</v>
      </c>
      <c r="AY5">
        <v>0</v>
      </c>
      <c r="AZ5">
        <v>0</v>
      </c>
      <c r="BA5" t="str">
        <v>Skälby Sharks</v>
      </c>
      <c r="BB5" s="157" t="b">
        <v>0</v>
      </c>
      <c r="BF5" t="s">
        <v>629</v>
      </c>
    </row>
    <row r="6" spans="1:72" x14ac:dyDescent="0.3">
      <c r="AQ6" s="161">
        <v>45877</v>
      </c>
      <c r="AR6" s="166">
        <v>0.6875</v>
      </c>
      <c r="AS6" s="167">
        <v>0.8125</v>
      </c>
      <c r="AT6">
        <v>0</v>
      </c>
      <c r="AU6" t="str">
        <v>Barnkalas, Andreas T.</v>
      </c>
      <c r="AV6">
        <v>0</v>
      </c>
      <c r="AW6" s="168">
        <v>0</v>
      </c>
      <c r="AX6">
        <v>0</v>
      </c>
      <c r="AY6">
        <v>0</v>
      </c>
      <c r="AZ6">
        <v>0</v>
      </c>
      <c r="BA6" t="str">
        <v>Barnkalas, Andreas T.</v>
      </c>
      <c r="BB6" s="157" t="b">
        <v>0</v>
      </c>
      <c r="BF6" t="s">
        <v>800</v>
      </c>
    </row>
    <row r="7" spans="1:72" x14ac:dyDescent="0.3">
      <c r="AQ7" s="161">
        <v>45881</v>
      </c>
      <c r="AR7" s="166">
        <v>0.72916666666666663</v>
      </c>
      <c r="AS7" s="167">
        <v>0.77083333333333337</v>
      </c>
      <c r="AT7" t="str">
        <v>20</v>
      </c>
      <c r="AU7" t="str">
        <v>VSK Bandy Dam</v>
      </c>
      <c r="AV7">
        <v>0</v>
      </c>
      <c r="AW7" s="168">
        <v>0</v>
      </c>
      <c r="AX7">
        <v>0</v>
      </c>
      <c r="AY7">
        <v>0</v>
      </c>
      <c r="AZ7">
        <v>0</v>
      </c>
      <c r="BA7" t="str">
        <v>VSK Bandy Dam</v>
      </c>
      <c r="BB7" s="157" t="b">
        <v>0</v>
      </c>
      <c r="BF7" t="s">
        <v>797</v>
      </c>
    </row>
    <row r="8" spans="1:72" x14ac:dyDescent="0.3">
      <c r="AQ8" s="161">
        <v>45889</v>
      </c>
      <c r="AR8" s="166">
        <v>0.70833333333333337</v>
      </c>
      <c r="AS8" s="167">
        <v>0.79166666666666663</v>
      </c>
      <c r="AT8" t="str">
        <v>20</v>
      </c>
      <c r="AU8" t="str">
        <v>VIK Dam Ungdom</v>
      </c>
      <c r="AV8">
        <v>0</v>
      </c>
      <c r="AW8" s="168">
        <v>0</v>
      </c>
      <c r="AX8">
        <v>0</v>
      </c>
      <c r="AY8">
        <v>0</v>
      </c>
      <c r="AZ8">
        <v>0</v>
      </c>
      <c r="BA8" t="str">
        <v>VIK Dam Ungdom</v>
      </c>
      <c r="BB8" s="157" t="b">
        <v>0</v>
      </c>
      <c r="BF8" t="s">
        <v>508</v>
      </c>
      <c r="BT8" t="str">
        <f>BM21&amp;BM22&amp;BM23&amp;BM24&amp;BM25&amp;BM26&amp;BM27&amp;BM28&amp;BM29&amp;BM30&amp;BM31&amp;BM32&amp;BM33&amp;BM34&amp;BM35&amp;BM36</f>
        <v/>
      </c>
    </row>
    <row r="9" spans="1:72" x14ac:dyDescent="0.3">
      <c r="AQ9" s="161">
        <v>45899</v>
      </c>
      <c r="AR9" s="166">
        <v>0.53125</v>
      </c>
      <c r="AS9" s="167">
        <v>0.61458333333333337</v>
      </c>
      <c r="AT9">
        <v>10</v>
      </c>
      <c r="AU9" t="str">
        <v>Barnkalas, Dennis A.</v>
      </c>
      <c r="AV9">
        <v>0</v>
      </c>
      <c r="AW9" s="168">
        <v>0</v>
      </c>
      <c r="AX9">
        <v>0</v>
      </c>
      <c r="AY9">
        <v>0</v>
      </c>
      <c r="AZ9">
        <v>0</v>
      </c>
      <c r="BA9" t="str">
        <v>Barnkalas, Dennis A.</v>
      </c>
      <c r="BB9" s="157" t="b">
        <v>0</v>
      </c>
      <c r="BF9" t="s">
        <v>507</v>
      </c>
    </row>
    <row r="10" spans="1:72" x14ac:dyDescent="0.3">
      <c r="BB10" s="157" t="b">
        <v>0</v>
      </c>
      <c r="BF10" t="s">
        <v>587</v>
      </c>
    </row>
    <row r="11" spans="1:72" x14ac:dyDescent="0.3">
      <c r="BB11" s="157" t="b">
        <v>0</v>
      </c>
      <c r="BF11" t="s">
        <v>737</v>
      </c>
    </row>
    <row r="12" spans="1:72" x14ac:dyDescent="0.3">
      <c r="BB12" s="157" t="b">
        <v>0</v>
      </c>
      <c r="BF12" t="s">
        <v>643</v>
      </c>
    </row>
    <row r="13" spans="1:72" x14ac:dyDescent="0.3">
      <c r="BB13" s="157" t="b">
        <v>0</v>
      </c>
      <c r="BF13" t="s">
        <v>28</v>
      </c>
    </row>
    <row r="14" spans="1:72" x14ac:dyDescent="0.3">
      <c r="BB14" s="157" t="b">
        <v>0</v>
      </c>
      <c r="BF14" t="s">
        <v>681</v>
      </c>
    </row>
    <row r="15" spans="1:72" x14ac:dyDescent="0.3">
      <c r="BB15" s="157" t="b">
        <v>0</v>
      </c>
      <c r="BF15" t="s">
        <v>682</v>
      </c>
    </row>
    <row r="16" spans="1:72" x14ac:dyDescent="0.3">
      <c r="BB16" s="157" t="b">
        <v>0</v>
      </c>
      <c r="BF16" t="s">
        <v>683</v>
      </c>
    </row>
    <row r="17" spans="54:58" x14ac:dyDescent="0.3">
      <c r="BB17" s="157" t="b">
        <v>0</v>
      </c>
      <c r="BF17" t="s">
        <v>684</v>
      </c>
    </row>
    <row r="18" spans="54:58" x14ac:dyDescent="0.3">
      <c r="BB18" s="157" t="b">
        <v>0</v>
      </c>
      <c r="BF18" t="s">
        <v>685</v>
      </c>
    </row>
    <row r="19" spans="54:58" x14ac:dyDescent="0.3">
      <c r="BB19" s="157" t="b">
        <v>0</v>
      </c>
      <c r="BF19" t="s">
        <v>686</v>
      </c>
    </row>
    <row r="20" spans="54:58" x14ac:dyDescent="0.3">
      <c r="BB20" s="157" t="b">
        <v>0</v>
      </c>
      <c r="BF20" t="s">
        <v>687</v>
      </c>
    </row>
    <row r="21" spans="54:58" x14ac:dyDescent="0.3">
      <c r="BB21" s="157" t="b">
        <v>0</v>
      </c>
      <c r="BF21" t="s">
        <v>688</v>
      </c>
    </row>
    <row r="22" spans="54:58" x14ac:dyDescent="0.3">
      <c r="BB22" s="157" t="b">
        <v>0</v>
      </c>
      <c r="BF22" t="s">
        <v>776</v>
      </c>
    </row>
    <row r="23" spans="54:58" x14ac:dyDescent="0.3">
      <c r="BB23" s="157" t="b">
        <v>0</v>
      </c>
      <c r="BF23" t="s">
        <v>393</v>
      </c>
    </row>
    <row r="24" spans="54:58" x14ac:dyDescent="0.3">
      <c r="BB24" s="157" t="b">
        <v>0</v>
      </c>
      <c r="BF24" t="s">
        <v>852</v>
      </c>
    </row>
    <row r="25" spans="54:58" x14ac:dyDescent="0.3">
      <c r="BB25" s="157" t="b">
        <v>0</v>
      </c>
      <c r="BF25" t="s">
        <v>700</v>
      </c>
    </row>
    <row r="26" spans="54:58" x14ac:dyDescent="0.3">
      <c r="BB26" s="157" t="b">
        <v>0</v>
      </c>
      <c r="BF26" t="s">
        <v>945</v>
      </c>
    </row>
    <row r="27" spans="54:58" x14ac:dyDescent="0.3">
      <c r="BB27" s="157" t="b">
        <v>0</v>
      </c>
      <c r="BF27" t="s">
        <v>411</v>
      </c>
    </row>
    <row r="28" spans="54:58" x14ac:dyDescent="0.3">
      <c r="BB28" s="157" t="b">
        <v>0</v>
      </c>
      <c r="BF28" t="s">
        <v>675</v>
      </c>
    </row>
    <row r="29" spans="54:58" x14ac:dyDescent="0.3">
      <c r="BB29" s="157" t="b">
        <v>0</v>
      </c>
      <c r="BF29" t="s">
        <v>555</v>
      </c>
    </row>
    <row r="30" spans="54:58" x14ac:dyDescent="0.3">
      <c r="BB30" s="157" t="b">
        <v>0</v>
      </c>
    </row>
    <row r="31" spans="54:58" x14ac:dyDescent="0.3">
      <c r="BB31" s="157" t="b">
        <v>0</v>
      </c>
    </row>
    <row r="32" spans="54:58" x14ac:dyDescent="0.3">
      <c r="BB32" s="157" t="b">
        <v>0</v>
      </c>
    </row>
    <row r="33" spans="54:54" x14ac:dyDescent="0.3">
      <c r="BB33" s="157" t="b">
        <v>0</v>
      </c>
    </row>
    <row r="34" spans="54:54" x14ac:dyDescent="0.3">
      <c r="BB34" s="157" t="b">
        <v>0</v>
      </c>
    </row>
    <row r="35" spans="54:54" x14ac:dyDescent="0.3">
      <c r="BB35" s="157" t="b">
        <v>0</v>
      </c>
    </row>
    <row r="36" spans="54:54" x14ac:dyDescent="0.3">
      <c r="BB36" s="157" t="b">
        <v>0</v>
      </c>
    </row>
    <row r="37" spans="54:54" x14ac:dyDescent="0.3">
      <c r="BB37" s="157" t="b">
        <v>0</v>
      </c>
    </row>
    <row r="38" spans="54:54" x14ac:dyDescent="0.3">
      <c r="BB38" s="157" t="b">
        <v>0</v>
      </c>
    </row>
    <row r="39" spans="54:54" x14ac:dyDescent="0.3">
      <c r="BB39" s="157" t="b">
        <v>0</v>
      </c>
    </row>
    <row r="40" spans="54:54" x14ac:dyDescent="0.3">
      <c r="BB40" s="157" t="b">
        <v>0</v>
      </c>
    </row>
    <row r="41" spans="54:54" x14ac:dyDescent="0.3">
      <c r="BB41" s="157" t="b">
        <v>0</v>
      </c>
    </row>
    <row r="42" spans="54:54" x14ac:dyDescent="0.3">
      <c r="BB42" s="157" t="b">
        <v>0</v>
      </c>
    </row>
    <row r="43" spans="54:54" x14ac:dyDescent="0.3">
      <c r="BB43" s="157" t="b">
        <v>0</v>
      </c>
    </row>
    <row r="44" spans="54:54" x14ac:dyDescent="0.3">
      <c r="BB44" s="157" t="b">
        <v>0</v>
      </c>
    </row>
    <row r="45" spans="54:54" x14ac:dyDescent="0.3">
      <c r="BB45" s="157" t="b">
        <v>0</v>
      </c>
    </row>
    <row r="46" spans="54:54" x14ac:dyDescent="0.3">
      <c r="BB46" s="157" t="b">
        <v>0</v>
      </c>
    </row>
  </sheetData>
  <sheetProtection algorithmName="SHA-512" hashValue="Yd92PA1T0r6HAYEXKaoaZ1H7AuTc6EeGGcXaJXsskv8K0LgLhVsGQtJpYmmt3ns9bqIsQ/N200jfcUIT4snqsA==" saltValue="fFEeob6hhX35LbBiTeUrGg==" spinCount="100000" sheet="1" objects="1" scenarios="1" autoFilter="0" pivotTables="0"/>
  <phoneticPr fontId="1" type="noConversion"/>
  <conditionalFormatting sqref="BB2:BB46">
    <cfRule type="expression" dxfId="11" priority="3">
      <formula>OR(IF(BA2&lt;&gt;"",1))</formula>
    </cfRule>
  </conditionalFormatting>
  <conditionalFormatting sqref="BA2:BB2">
    <cfRule type="expression" dxfId="10" priority="2">
      <formula>OR(IF(BB2=TRUE,1))</formula>
    </cfRule>
  </conditionalFormatting>
  <conditionalFormatting sqref="BA3:BB46">
    <cfRule type="expression" dxfId="9" priority="1">
      <formula>OR(IF(BB3=TRUE,1))</formula>
    </cfRule>
  </conditionalFormatting>
  <dataValidations count="1">
    <dataValidation type="date" allowBlank="1" showInputMessage="1" showErrorMessage="1" prompt="ÅÅÅÅ-MM-DD" sqref="BC2:BD2" xr:uid="{76CA08D0-4E49-45A2-A5CA-E5D0FDFB226A}">
      <formula1>BH1</formula1>
      <formula2>BI1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12548C-EBBC-411D-8AE6-F9F565BC5EF0}">
          <x14:formula1>
            <xm:f>Kontaktuppgifter!$A$2:$A$300</xm:f>
          </x14:formula1>
          <xm:sqref>BF2:BF37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854A-8ADA-47C2-8335-5A8971811BB1}">
  <sheetPr codeName="Blad60"/>
  <dimension ref="A1:N135"/>
  <sheetViews>
    <sheetView showGridLines="0" showZeros="0" view="pageLayout" zoomScaleNormal="100" workbookViewId="0">
      <selection activeCell="F36" sqref="F1:G1048576"/>
    </sheetView>
  </sheetViews>
  <sheetFormatPr defaultColWidth="9.109375" defaultRowHeight="19.649999999999999" customHeight="1" x14ac:dyDescent="0.25"/>
  <cols>
    <col min="1" max="1" width="7.44140625" style="65" customWidth="1"/>
    <col min="2" max="2" width="10.5546875" style="65" customWidth="1"/>
    <col min="3" max="3" width="8.5546875" style="91" customWidth="1"/>
    <col min="4" max="4" width="5.44140625" style="92" customWidth="1"/>
    <col min="5" max="5" width="10" style="72" customWidth="1"/>
    <col min="6" max="6" width="9.109375" style="66" hidden="1" customWidth="1"/>
    <col min="7" max="7" width="7.44140625" style="93" hidden="1" customWidth="1"/>
    <col min="8" max="8" width="7.33203125" style="65" customWidth="1"/>
    <col min="9" max="9" width="19.5546875" style="94" customWidth="1"/>
    <col min="10" max="10" width="16.33203125" style="82" customWidth="1"/>
    <col min="11" max="11" width="18.33203125" style="90" hidden="1" customWidth="1"/>
    <col min="12" max="12" width="14.44140625" style="82" hidden="1" customWidth="1"/>
    <col min="13" max="13" width="8.5546875" style="65" bestFit="1" customWidth="1"/>
    <col min="14" max="14" width="21.5546875" style="66" bestFit="1" customWidth="1"/>
    <col min="15" max="15" width="20.6640625" style="66" bestFit="1" customWidth="1"/>
    <col min="16" max="16" width="21.44140625" style="66" bestFit="1" customWidth="1"/>
    <col min="17" max="16384" width="9.109375" style="66"/>
  </cols>
  <sheetData>
    <row r="1" spans="1:13" s="54" customFormat="1" ht="14.4" x14ac:dyDescent="0.3">
      <c r="A1" s="185" t="str">
        <f ca="1">"Bokning bekräftad/uppdaterad: "&amp;TEXT(TODAY(),"ÅÅÅÅ-MM-DD")</f>
        <v>Bokning bekräftad/uppdaterad: 2025-09-09</v>
      </c>
      <c r="B1" s="185"/>
      <c r="C1" s="185"/>
      <c r="D1" s="185"/>
      <c r="E1" s="185"/>
      <c r="F1" s="185"/>
      <c r="J1" s="55"/>
      <c r="K1" s="55"/>
      <c r="L1" s="55"/>
      <c r="M1" s="56"/>
    </row>
    <row r="2" spans="1:13" s="54" customFormat="1" ht="14.4" x14ac:dyDescent="0.3">
      <c r="A2" s="186" t="s">
        <v>134</v>
      </c>
      <c r="B2" s="186"/>
      <c r="C2" s="186"/>
      <c r="D2" s="186"/>
      <c r="E2" s="186"/>
      <c r="F2" s="186"/>
      <c r="G2" s="57"/>
      <c r="H2" s="57"/>
      <c r="J2" s="55"/>
      <c r="K2" s="55"/>
      <c r="L2" s="55"/>
      <c r="M2" s="56"/>
    </row>
    <row r="3" spans="1:13" s="54" customFormat="1" ht="14.4" x14ac:dyDescent="0.3">
      <c r="A3" s="185" t="str">
        <f>"Mejladress: "&amp;_xlfn.XLOOKUP('Bokningsbekräftelse VT'!A2,Listor!O2:O5,Listor!P2:P5,"-")</f>
        <v xml:space="preserve">Mejladress: </v>
      </c>
      <c r="B3" s="185"/>
      <c r="C3" s="185"/>
      <c r="D3" s="185"/>
      <c r="E3" s="185"/>
      <c r="F3" s="185"/>
      <c r="G3" s="58"/>
      <c r="H3" s="58"/>
      <c r="J3" s="55"/>
      <c r="K3" s="55"/>
      <c r="L3" s="55"/>
      <c r="M3" s="56"/>
    </row>
    <row r="4" spans="1:13" s="54" customFormat="1" ht="56.85" customHeight="1" x14ac:dyDescent="0.3">
      <c r="A4" s="187" t="s">
        <v>975</v>
      </c>
      <c r="B4" s="187"/>
      <c r="C4" s="187"/>
      <c r="D4" s="187"/>
      <c r="E4" s="187"/>
      <c r="F4" s="187"/>
      <c r="G4" s="187"/>
      <c r="H4" s="187"/>
      <c r="I4" s="187"/>
      <c r="J4" s="55"/>
      <c r="K4" s="55"/>
      <c r="L4" s="55"/>
      <c r="M4" s="56"/>
    </row>
    <row r="5" spans="1:13" s="54" customFormat="1" ht="19.649999999999999" customHeight="1" x14ac:dyDescent="0.3">
      <c r="A5" s="188" t="s">
        <v>134</v>
      </c>
      <c r="B5" s="188"/>
      <c r="C5" s="188"/>
      <c r="D5" s="188"/>
      <c r="E5" s="188"/>
      <c r="F5" s="188"/>
      <c r="G5" s="188"/>
      <c r="H5" s="188"/>
      <c r="I5" s="188"/>
      <c r="J5" s="55"/>
      <c r="K5" s="55"/>
      <c r="L5" s="55"/>
      <c r="M5" s="56"/>
    </row>
    <row r="6" spans="1:13" s="54" customFormat="1" ht="14.4" x14ac:dyDescent="0.3">
      <c r="A6" s="185" t="str">
        <f>"Kontaktperson: "&amp;_xlfn.XLOOKUP(A5,Kontaktuppgifter!A2:A300,Kontaktuppgifter!E2:E300,"")</f>
        <v>Kontaktperson: -</v>
      </c>
      <c r="B6" s="185"/>
      <c r="C6" s="185"/>
      <c r="D6" s="185"/>
      <c r="E6" s="185"/>
      <c r="F6" s="185"/>
      <c r="G6" s="185"/>
      <c r="H6" s="185"/>
      <c r="I6" s="185"/>
      <c r="J6" s="55"/>
      <c r="K6" s="55"/>
      <c r="L6" s="55"/>
      <c r="M6" s="56"/>
    </row>
    <row r="7" spans="1:13" s="54" customFormat="1" ht="14.4" x14ac:dyDescent="0.3">
      <c r="A7" s="185" t="str">
        <f>"Mejladress: "&amp;_xlfn.XLOOKUP(A5,Kontaktuppgifter!A2:A300,Kontaktuppgifter!G2:G300,"")</f>
        <v>Mejladress: -</v>
      </c>
      <c r="B7" s="185"/>
      <c r="C7" s="185"/>
      <c r="D7" s="185"/>
      <c r="E7" s="185"/>
      <c r="F7" s="185"/>
      <c r="G7" s="185"/>
      <c r="H7" s="185"/>
      <c r="I7" s="185"/>
      <c r="J7" s="55"/>
      <c r="K7" s="55"/>
      <c r="L7" s="55"/>
      <c r="M7" s="56"/>
    </row>
    <row r="8" spans="1:13" s="54" customFormat="1" ht="14.4" x14ac:dyDescent="0.3">
      <c r="A8" s="185" t="str">
        <f>"Telefonnummer: "&amp;_xlfn.XLOOKUP(A5,Kontaktuppgifter!A2:A300,Kontaktuppgifter!F2:F300,"")</f>
        <v>Telefonnummer: -</v>
      </c>
      <c r="B8" s="185"/>
      <c r="C8" s="185"/>
      <c r="D8" s="185"/>
      <c r="E8" s="185"/>
      <c r="F8" s="185"/>
      <c r="G8" s="185"/>
      <c r="H8" s="185"/>
      <c r="I8" s="185"/>
      <c r="J8" s="55"/>
      <c r="K8" s="55"/>
      <c r="L8" s="55"/>
      <c r="M8" s="56"/>
    </row>
    <row r="9" spans="1:13" s="56" customFormat="1" ht="14.4" x14ac:dyDescent="0.3">
      <c r="A9" s="185" t="str">
        <f>"Fakturaadress: "&amp;_xlfn.XLOOKUP(A5,Kontaktuppgifter!A2:A300,Kontaktuppgifter!B2:B300,"")</f>
        <v>Fakturaadress: -</v>
      </c>
      <c r="B9" s="185"/>
      <c r="C9" s="185"/>
      <c r="D9" s="185"/>
      <c r="E9" s="185"/>
      <c r="F9" s="185"/>
      <c r="G9" s="185"/>
      <c r="H9" s="185"/>
      <c r="I9" s="185"/>
      <c r="J9" s="55"/>
      <c r="K9" s="55"/>
      <c r="L9" s="55"/>
    </row>
    <row r="10" spans="1:13" s="56" customFormat="1" ht="14.4" x14ac:dyDescent="0.3">
      <c r="A10" s="185" t="str">
        <f>"Mejlfakturering: "&amp;_xlfn.XLOOKUP(A5,Kontaktuppgifter!A2:A300,Kontaktuppgifter!C2:C300,"")</f>
        <v>Mejlfakturering: -</v>
      </c>
      <c r="B10" s="185"/>
      <c r="C10" s="185"/>
      <c r="D10" s="185"/>
      <c r="E10" s="185"/>
      <c r="F10" s="185"/>
      <c r="G10" s="185"/>
      <c r="H10" s="185"/>
      <c r="I10" s="185"/>
      <c r="J10" s="55"/>
      <c r="K10" s="55"/>
      <c r="L10" s="55"/>
    </row>
    <row r="11" spans="1:13" s="56" customFormat="1" ht="14.4" x14ac:dyDescent="0.3">
      <c r="A11" s="185" t="str">
        <f>"Referens: "&amp;_xlfn.XLOOKUP(A5,Kontaktuppgifter!A2:A300,Kontaktuppgifter!D2:D300,"")</f>
        <v>Referens: -</v>
      </c>
      <c r="B11" s="185"/>
      <c r="C11" s="185"/>
      <c r="D11" s="185"/>
      <c r="E11" s="185"/>
      <c r="F11" s="185"/>
      <c r="G11" s="185"/>
      <c r="H11" s="185"/>
      <c r="I11" s="185"/>
      <c r="J11" s="55"/>
      <c r="K11" s="55"/>
      <c r="L11" s="55"/>
    </row>
    <row r="12" spans="1:13" s="56" customFormat="1" ht="14.4" x14ac:dyDescent="0.3">
      <c r="A12" s="185" t="str">
        <f>"Organisationsnummer: "&amp;_xlfn.XLOOKUP(A5,Kontaktuppgifter!A2:A300,Kontaktuppgifter!H2:H300,"")</f>
        <v>Organisationsnummer: -</v>
      </c>
      <c r="B12" s="185"/>
      <c r="C12" s="185"/>
      <c r="D12" s="185"/>
      <c r="E12" s="185"/>
      <c r="F12" s="185"/>
      <c r="G12" s="185"/>
      <c r="H12" s="185"/>
      <c r="I12" s="185"/>
      <c r="J12" s="55"/>
      <c r="K12" s="55"/>
      <c r="L12" s="55"/>
    </row>
    <row r="13" spans="1:13" s="54" customFormat="1" ht="14.4" x14ac:dyDescent="0.3">
      <c r="J13" s="55"/>
      <c r="K13" s="55"/>
      <c r="L13" s="55"/>
      <c r="M13" s="56"/>
    </row>
    <row r="14" spans="1:13" s="54" customFormat="1" ht="14.4" x14ac:dyDescent="0.3">
      <c r="A14" s="184" t="s">
        <v>976</v>
      </c>
      <c r="B14" s="184"/>
      <c r="C14" s="184"/>
      <c r="D14" s="184"/>
      <c r="E14" s="184"/>
      <c r="F14" s="184"/>
      <c r="G14" s="184"/>
      <c r="H14" s="184"/>
      <c r="I14" s="184"/>
      <c r="J14" s="55"/>
      <c r="K14" s="55"/>
      <c r="L14" s="55"/>
      <c r="M14" s="56"/>
    </row>
    <row r="15" spans="1:13" s="54" customFormat="1" ht="14.4" x14ac:dyDescent="0.3">
      <c r="J15" s="55"/>
      <c r="K15" s="55"/>
      <c r="L15" s="55"/>
      <c r="M15" s="56"/>
    </row>
    <row r="16" spans="1:13" s="54" customFormat="1" ht="14.4" x14ac:dyDescent="0.3">
      <c r="J16" s="55"/>
      <c r="K16" s="55"/>
      <c r="L16" s="55"/>
      <c r="M16" s="56"/>
    </row>
    <row r="17" spans="10:13" s="54" customFormat="1" ht="14.4" x14ac:dyDescent="0.3">
      <c r="J17" s="55"/>
      <c r="K17" s="55"/>
      <c r="L17" s="55"/>
      <c r="M17" s="56"/>
    </row>
    <row r="18" spans="10:13" s="54" customFormat="1" ht="14.4" x14ac:dyDescent="0.3">
      <c r="J18" s="55"/>
      <c r="K18" s="55"/>
      <c r="L18" s="55"/>
      <c r="M18" s="56"/>
    </row>
    <row r="19" spans="10:13" s="54" customFormat="1" ht="14.4" x14ac:dyDescent="0.3">
      <c r="J19" s="55"/>
      <c r="K19" s="55"/>
      <c r="L19" s="55"/>
      <c r="M19" s="56"/>
    </row>
    <row r="20" spans="10:13" s="54" customFormat="1" ht="14.4" x14ac:dyDescent="0.3">
      <c r="J20" s="55"/>
      <c r="K20" s="55"/>
      <c r="L20" s="55"/>
      <c r="M20" s="56"/>
    </row>
    <row r="21" spans="10:13" s="54" customFormat="1" ht="14.4" x14ac:dyDescent="0.3">
      <c r="J21" s="55"/>
      <c r="K21" s="55"/>
      <c r="L21" s="55"/>
      <c r="M21" s="56"/>
    </row>
    <row r="22" spans="10:13" s="54" customFormat="1" ht="14.4" x14ac:dyDescent="0.3">
      <c r="J22" s="55"/>
      <c r="K22" s="55"/>
      <c r="L22" s="55"/>
      <c r="M22" s="56"/>
    </row>
    <row r="23" spans="10:13" s="54" customFormat="1" ht="14.4" x14ac:dyDescent="0.3">
      <c r="J23" s="55"/>
      <c r="K23" s="55"/>
      <c r="L23" s="55"/>
      <c r="M23" s="56"/>
    </row>
    <row r="24" spans="10:13" s="54" customFormat="1" ht="14.4" x14ac:dyDescent="0.3">
      <c r="J24" s="55"/>
      <c r="K24" s="55"/>
      <c r="L24" s="55"/>
      <c r="M24" s="56"/>
    </row>
    <row r="25" spans="10:13" s="54" customFormat="1" ht="14.4" x14ac:dyDescent="0.3">
      <c r="J25" s="55"/>
      <c r="K25" s="55"/>
      <c r="L25" s="55"/>
      <c r="M25" s="56"/>
    </row>
    <row r="26" spans="10:13" s="54" customFormat="1" ht="14.4" x14ac:dyDescent="0.3">
      <c r="J26" s="55"/>
      <c r="K26" s="55"/>
      <c r="L26" s="55"/>
      <c r="M26" s="56"/>
    </row>
    <row r="27" spans="10:13" s="54" customFormat="1" ht="14.4" x14ac:dyDescent="0.3">
      <c r="J27" s="55"/>
      <c r="K27" s="55"/>
      <c r="L27" s="55"/>
      <c r="M27" s="56"/>
    </row>
    <row r="28" spans="10:13" s="54" customFormat="1" ht="14.4" x14ac:dyDescent="0.3">
      <c r="J28" s="55"/>
      <c r="K28" s="55"/>
      <c r="L28" s="55"/>
      <c r="M28" s="56"/>
    </row>
    <row r="29" spans="10:13" s="54" customFormat="1" ht="14.4" x14ac:dyDescent="0.3">
      <c r="J29" s="55"/>
      <c r="K29" s="55"/>
      <c r="L29" s="55"/>
      <c r="M29" s="56"/>
    </row>
    <row r="30" spans="10:13" s="54" customFormat="1" ht="14.4" x14ac:dyDescent="0.3">
      <c r="J30" s="55"/>
      <c r="K30" s="55"/>
      <c r="L30" s="55"/>
      <c r="M30" s="56"/>
    </row>
    <row r="31" spans="10:13" s="54" customFormat="1" ht="14.4" x14ac:dyDescent="0.3">
      <c r="J31" s="55"/>
      <c r="K31" s="55"/>
      <c r="L31" s="55"/>
      <c r="M31" s="56"/>
    </row>
    <row r="32" spans="10:13" s="54" customFormat="1" ht="14.4" x14ac:dyDescent="0.3">
      <c r="J32" s="55"/>
      <c r="K32" s="55"/>
      <c r="L32" s="55"/>
      <c r="M32" s="56"/>
    </row>
    <row r="33" spans="1:14" s="54" customFormat="1" ht="14.4" x14ac:dyDescent="0.3">
      <c r="J33" s="55"/>
      <c r="K33" s="55"/>
      <c r="L33" s="55"/>
      <c r="M33" s="56"/>
    </row>
    <row r="34" spans="1:14" s="54" customFormat="1" ht="14.4" x14ac:dyDescent="0.3">
      <c r="J34" s="55"/>
      <c r="K34" s="55"/>
      <c r="L34" s="55"/>
      <c r="M34" s="56"/>
    </row>
    <row r="35" spans="1:14" s="54" customFormat="1" ht="14.4" x14ac:dyDescent="0.3">
      <c r="J35" s="55"/>
      <c r="K35" s="55"/>
      <c r="L35" s="55"/>
      <c r="M35" s="56"/>
    </row>
    <row r="36" spans="1:14" s="54" customFormat="1" ht="14.4" x14ac:dyDescent="0.3">
      <c r="J36" s="55"/>
      <c r="K36" s="55"/>
      <c r="L36" s="55"/>
      <c r="M36" s="56"/>
    </row>
    <row r="37" spans="1:14" s="54" customFormat="1" ht="14.4" x14ac:dyDescent="0.3">
      <c r="J37" s="55"/>
      <c r="K37" s="55"/>
      <c r="L37" s="55"/>
      <c r="M37" s="56"/>
    </row>
    <row r="38" spans="1:14" s="54" customFormat="1" ht="14.4" x14ac:dyDescent="0.3">
      <c r="J38" s="55"/>
      <c r="K38" s="55"/>
      <c r="L38" s="55"/>
      <c r="M38" s="56"/>
    </row>
    <row r="39" spans="1:14" ht="19.649999999999999" customHeight="1" x14ac:dyDescent="0.25">
      <c r="A39" s="59" t="s">
        <v>977</v>
      </c>
      <c r="B39" s="59" t="s">
        <v>18</v>
      </c>
      <c r="C39" s="60" t="s">
        <v>978</v>
      </c>
      <c r="D39" s="61" t="s">
        <v>979</v>
      </c>
      <c r="E39" s="59" t="s">
        <v>807</v>
      </c>
      <c r="F39" s="39" t="s">
        <v>980</v>
      </c>
      <c r="G39" s="59" t="s">
        <v>981</v>
      </c>
      <c r="H39" s="62" t="s">
        <v>982</v>
      </c>
      <c r="I39" s="63" t="s">
        <v>983</v>
      </c>
      <c r="J39" s="59" t="s">
        <v>984</v>
      </c>
      <c r="K39" s="64" t="s">
        <v>985</v>
      </c>
      <c r="L39" s="64" t="s">
        <v>986</v>
      </c>
      <c r="N39" s="65"/>
    </row>
    <row r="40" spans="1:14" ht="19.649999999999999" customHeight="1" x14ac:dyDescent="0.25">
      <c r="A40" s="67" t="str">
        <f>IF(Sammanställning!$F2&lt;&gt;"",Sammanställning!A2,"")</f>
        <v/>
      </c>
      <c r="B40" s="68" t="str">
        <f>IF(Sammanställning!$F2&lt;&gt;"",Sammanställning!B2,"")</f>
        <v/>
      </c>
      <c r="C40" s="69" t="str">
        <f>IF(Sammanställning!$F2&lt;&gt;"",Sammanställning!C2,"")</f>
        <v/>
      </c>
      <c r="D40" s="70" t="str">
        <f>IF(Sammanställning!$F2&lt;&gt;"",Sammanställning!D2,"")</f>
        <v/>
      </c>
      <c r="E40" s="71" t="str">
        <f>IF(Sammanställning!$F2&lt;&gt;"",Sammanställning!E2,"")</f>
        <v/>
      </c>
      <c r="F40" s="72" t="str">
        <f>IF(Sammanställning!$F2&lt;&gt;"",Sammanställning!K2,"")</f>
        <v/>
      </c>
      <c r="G40" s="73" t="str">
        <f>IF(Sammanställning!$F2&lt;&gt;"",Sammanställning!G2,"")</f>
        <v/>
      </c>
      <c r="H40" s="96" t="str">
        <f>IF(Sammanställning!$F2&lt;&gt;"",Sammanställning!H2,"")</f>
        <v/>
      </c>
      <c r="I40" s="98" t="str">
        <f>IF(Sammanställning!$F2&lt;&gt;"",Sammanställning!I2,"")</f>
        <v/>
      </c>
      <c r="J40" s="100">
        <f t="shared" ref="J40:J71" si="0">IFERROR(IF(OR(F40=TRUE),0,L40),0)</f>
        <v>0</v>
      </c>
      <c r="K40" s="102">
        <f>IFERROR(ROUNDUP((D40-C40)*24,0),0)</f>
        <v>0</v>
      </c>
      <c r="L40" s="74" cm="1">
        <f t="array" ref="L40">IFERROR(_xlfn.IFS(I40="/påbörjad h",H40*K40,I40="/tillfälle",H40,I40="/pers/påbörjad h",E40*H40*K40,I40="/pers",E40*H40,I40="/instruktör",E40*H40,I40="/instruktör/påbörjad h",E40*H40*K40,I40="/st",E40*H40,I40="/bord",E40*H40,I40="",0),0)</f>
        <v>0</v>
      </c>
      <c r="N40" s="65"/>
    </row>
    <row r="41" spans="1:14" ht="19.649999999999999" customHeight="1" x14ac:dyDescent="0.25">
      <c r="A41" s="75" t="str">
        <f>IF(Sammanställning!$F3&lt;&gt;"",Sammanställning!A3,"")</f>
        <v/>
      </c>
      <c r="B41" s="76" t="str">
        <f>IF(Sammanställning!$F3&lt;&gt;"",Sammanställning!B3,"")</f>
        <v/>
      </c>
      <c r="C41" s="77" t="str">
        <f>IF(Sammanställning!$F3&lt;&gt;"",Sammanställning!C3,"")</f>
        <v/>
      </c>
      <c r="D41" s="78" t="str">
        <f>IF(Sammanställning!$F3&lt;&gt;"",Sammanställning!D3,"")</f>
        <v/>
      </c>
      <c r="E41" s="79" t="str">
        <f>IF(Sammanställning!$F3&lt;&gt;"",Sammanställning!E3,"")</f>
        <v/>
      </c>
      <c r="F41" s="72" t="str">
        <f>IF(Sammanställning!$F3&lt;&gt;"",Sammanställning!K3,"")</f>
        <v/>
      </c>
      <c r="G41" s="80" t="str">
        <f>IF(Sammanställning!$F3&lt;&gt;"",Sammanställning!G3,"")</f>
        <v/>
      </c>
      <c r="H41" s="97" t="str">
        <f>IF(Sammanställning!$F3&lt;&gt;"",Sammanställning!H3,"")</f>
        <v/>
      </c>
      <c r="I41" s="99" t="str">
        <f>IF(Sammanställning!$F3&lt;&gt;"",Sammanställning!I3,"")</f>
        <v/>
      </c>
      <c r="J41" s="101">
        <f t="shared" si="0"/>
        <v>0</v>
      </c>
      <c r="K41" s="103">
        <f t="shared" ref="K41:K70" si="1">IFERROR(ROUNDUP((D41-C41)*24,0),0)</f>
        <v>0</v>
      </c>
      <c r="L41" s="81" cm="1">
        <f t="array" ref="L41">IFERROR(_xlfn.IFS(I41="/påbörjad h",H41*K41,I41="/tillfälle",H41,I41="/pers/påbörjad h",E41*H41*K41,I41="/pers",E41*H41,I41="/instruktör",E41*H41,I41="/instruktör/påbörjad h",E41*H41*K41,I41="/st",E41*H41,I41="/bord",E41*H41,I41="",0),0)</f>
        <v>0</v>
      </c>
      <c r="N41" s="65"/>
    </row>
    <row r="42" spans="1:14" ht="19.649999999999999" customHeight="1" x14ac:dyDescent="0.25">
      <c r="A42" s="75" t="str">
        <f>IF(Sammanställning!$F4&lt;&gt;"",Sammanställning!A4,"")</f>
        <v/>
      </c>
      <c r="B42" s="76" t="str">
        <f>IF(Sammanställning!$F4&lt;&gt;"",Sammanställning!B4,"")</f>
        <v/>
      </c>
      <c r="C42" s="77" t="str">
        <f>IF(Sammanställning!$F4&lt;&gt;"",Sammanställning!C4,"")</f>
        <v/>
      </c>
      <c r="D42" s="78" t="str">
        <f>IF(Sammanställning!$F4&lt;&gt;"",Sammanställning!D4,"")</f>
        <v/>
      </c>
      <c r="E42" s="79" t="str">
        <f>IF(Sammanställning!$F4&lt;&gt;"",Sammanställning!E4,"")</f>
        <v/>
      </c>
      <c r="F42" s="72" t="str">
        <f>IF(Sammanställning!$F4&lt;&gt;"",Sammanställning!K4,"")</f>
        <v/>
      </c>
      <c r="G42" s="80" t="str">
        <f>IF(Sammanställning!$F4&lt;&gt;"",Sammanställning!G4,"")</f>
        <v/>
      </c>
      <c r="H42" s="97" t="str">
        <f>IF(Sammanställning!$F4&lt;&gt;"",Sammanställning!H4,"")</f>
        <v/>
      </c>
      <c r="I42" s="99" t="str">
        <f>IF(Sammanställning!$F4&lt;&gt;"",Sammanställning!I4,"")</f>
        <v/>
      </c>
      <c r="J42" s="101">
        <f t="shared" si="0"/>
        <v>0</v>
      </c>
      <c r="K42" s="103">
        <f t="shared" si="1"/>
        <v>0</v>
      </c>
      <c r="L42" s="81" cm="1">
        <f t="array" ref="L42">IFERROR(_xlfn.IFS(I42="/påbörjad h",H42*K42,I42="/tillfälle",H42,I42="/pers/påbörjad h",E42*H42*K42,I42="/pers",E42*H42,I42="/instruktör",E42*H42,I42="/instruktör/påbörjad h",E42*H42*K42,I42="/st",E42*H42,I42="/bord",E42*H42,I42="",0),0)</f>
        <v>0</v>
      </c>
      <c r="N42" s="65"/>
    </row>
    <row r="43" spans="1:14" ht="19.649999999999999" customHeight="1" x14ac:dyDescent="0.25">
      <c r="A43" s="75" t="str">
        <f>IF(Sammanställning!$F5&lt;&gt;"",Sammanställning!A5,"")</f>
        <v/>
      </c>
      <c r="B43" s="76" t="str">
        <f>IF(Sammanställning!$F5&lt;&gt;"",Sammanställning!B5,"")</f>
        <v/>
      </c>
      <c r="C43" s="77" t="str">
        <f>IF(Sammanställning!$F5&lt;&gt;"",Sammanställning!C5,"")</f>
        <v/>
      </c>
      <c r="D43" s="78" t="str">
        <f>IF(Sammanställning!$F5&lt;&gt;"",Sammanställning!D5,"")</f>
        <v/>
      </c>
      <c r="E43" s="79" t="str">
        <f>IF(Sammanställning!$F5&lt;&gt;"",Sammanställning!E5,"")</f>
        <v/>
      </c>
      <c r="F43" s="72" t="str">
        <f>IF(Sammanställning!$F5&lt;&gt;"",Sammanställning!K5,"")</f>
        <v/>
      </c>
      <c r="G43" s="80" t="str">
        <f>IF(Sammanställning!$F5&lt;&gt;"",Sammanställning!G5,"")</f>
        <v/>
      </c>
      <c r="H43" s="97" t="str">
        <f>IF(Sammanställning!$F5&lt;&gt;"",Sammanställning!H5,"")</f>
        <v/>
      </c>
      <c r="I43" s="99" t="str">
        <f>IF(Sammanställning!$F5&lt;&gt;"",Sammanställning!I5,"")</f>
        <v/>
      </c>
      <c r="J43" s="101">
        <f t="shared" si="0"/>
        <v>0</v>
      </c>
      <c r="K43" s="103">
        <f t="shared" si="1"/>
        <v>0</v>
      </c>
      <c r="L43" s="81" cm="1">
        <f t="array" ref="L43">IFERROR(_xlfn.IFS(I43="/påbörjad h",H43*K43,I43="/tillfälle",H43,I43="/pers/påbörjad h",E43*H43*K43,I43="/pers",E43*H43,I43="/instruktör",E43*H43,I43="/instruktör/påbörjad h",E43*H43*K43,I43="/st",E43*H43,I43="/bord",E43*H43,I43="",0),0)</f>
        <v>0</v>
      </c>
      <c r="N43" s="65"/>
    </row>
    <row r="44" spans="1:14" ht="19.649999999999999" customHeight="1" x14ac:dyDescent="0.25">
      <c r="A44" s="75" t="str">
        <f>IF(Sammanställning!$F6&lt;&gt;"",Sammanställning!A6,"")</f>
        <v/>
      </c>
      <c r="B44" s="76" t="str">
        <f>IF(Sammanställning!$F6&lt;&gt;"",Sammanställning!B6,"")</f>
        <v/>
      </c>
      <c r="C44" s="77" t="str">
        <f>IF(Sammanställning!$F6&lt;&gt;"",Sammanställning!C6,"")</f>
        <v/>
      </c>
      <c r="D44" s="78" t="str">
        <f>IF(Sammanställning!$F6&lt;&gt;"",Sammanställning!D6,"")</f>
        <v/>
      </c>
      <c r="E44" s="79" t="str">
        <f>IF(Sammanställning!$F6&lt;&gt;"",Sammanställning!E6,"")</f>
        <v/>
      </c>
      <c r="F44" s="72" t="str">
        <f>IF(Sammanställning!$F6&lt;&gt;"",Sammanställning!K6,"")</f>
        <v/>
      </c>
      <c r="G44" s="80" t="str">
        <f>IF(Sammanställning!$F6&lt;&gt;"",Sammanställning!G6,"")</f>
        <v/>
      </c>
      <c r="H44" s="97" t="str">
        <f>IF(Sammanställning!$F6&lt;&gt;"",Sammanställning!H6,"")</f>
        <v/>
      </c>
      <c r="I44" s="99" t="str">
        <f>IF(Sammanställning!$F6&lt;&gt;"",Sammanställning!I6,"")</f>
        <v/>
      </c>
      <c r="J44" s="101">
        <f t="shared" si="0"/>
        <v>0</v>
      </c>
      <c r="K44" s="103">
        <f t="shared" si="1"/>
        <v>0</v>
      </c>
      <c r="L44" s="81" cm="1">
        <f t="array" ref="L44">IFERROR(_xlfn.IFS(I44="/påbörjad h",H44*K44,I44="/tillfälle",H44,I44="/pers/påbörjad h",E44*H44*K44,I44="/pers",E44*H44,I44="/instruktör",E44*H44,I44="/instruktör/påbörjad h",E44*H44*K44,I44="/st",E44*H44,I44="/bord",E44*H44,I44="",0),0)</f>
        <v>0</v>
      </c>
      <c r="N44" s="65"/>
    </row>
    <row r="45" spans="1:14" ht="19.649999999999999" customHeight="1" x14ac:dyDescent="0.25">
      <c r="A45" s="75" t="str">
        <f>IF(Sammanställning!$F7&lt;&gt;"",Sammanställning!A7,"")</f>
        <v/>
      </c>
      <c r="B45" s="76" t="str">
        <f>IF(Sammanställning!$F7&lt;&gt;"",Sammanställning!B7,"")</f>
        <v/>
      </c>
      <c r="C45" s="77" t="str">
        <f>IF(Sammanställning!$F7&lt;&gt;"",Sammanställning!C7,"")</f>
        <v/>
      </c>
      <c r="D45" s="78" t="str">
        <f>IF(Sammanställning!$F7&lt;&gt;"",Sammanställning!D7,"")</f>
        <v/>
      </c>
      <c r="E45" s="79" t="str">
        <f>IF(Sammanställning!$F7&lt;&gt;"",Sammanställning!E7,"")</f>
        <v/>
      </c>
      <c r="F45" s="72" t="str">
        <f>IF(Sammanställning!$F7&lt;&gt;"",Sammanställning!K7,"")</f>
        <v/>
      </c>
      <c r="G45" s="80" t="str">
        <f>IF(Sammanställning!$F7&lt;&gt;"",Sammanställning!G7,"")</f>
        <v/>
      </c>
      <c r="H45" s="97" t="str">
        <f>IF(Sammanställning!$F7&lt;&gt;"",Sammanställning!H7,"")</f>
        <v/>
      </c>
      <c r="I45" s="99" t="str">
        <f>IF(Sammanställning!$F7&lt;&gt;"",Sammanställning!I7,"")</f>
        <v/>
      </c>
      <c r="J45" s="101">
        <f t="shared" si="0"/>
        <v>0</v>
      </c>
      <c r="K45" s="103">
        <f t="shared" si="1"/>
        <v>0</v>
      </c>
      <c r="L45" s="81" cm="1">
        <f t="array" ref="L45">IFERROR(_xlfn.IFS(I45="/påbörjad h",H45*K45,I45="/tillfälle",H45,I45="/pers/påbörjad h",E45*H45*K45,I45="/pers",E45*H45,I45="/instruktör",E45*H45,I45="/instruktör/påbörjad h",E45*H45*K45,I45="/st",E45*H45,I45="/bord",E45*H45,I45="",0),0)</f>
        <v>0</v>
      </c>
      <c r="N45" s="65"/>
    </row>
    <row r="46" spans="1:14" ht="19.649999999999999" customHeight="1" x14ac:dyDescent="0.25">
      <c r="A46" s="75" t="str">
        <f>IF(Sammanställning!$F8&lt;&gt;"",Sammanställning!A8,"")</f>
        <v/>
      </c>
      <c r="B46" s="76" t="str">
        <f>IF(Sammanställning!$F8&lt;&gt;"",Sammanställning!B8,"")</f>
        <v/>
      </c>
      <c r="C46" s="77" t="str">
        <f>IF(Sammanställning!$F8&lt;&gt;"",Sammanställning!C8,"")</f>
        <v/>
      </c>
      <c r="D46" s="78" t="str">
        <f>IF(Sammanställning!$F8&lt;&gt;"",Sammanställning!D8,"")</f>
        <v/>
      </c>
      <c r="E46" s="79" t="str">
        <f>IF(Sammanställning!$F8&lt;&gt;"",Sammanställning!E8,"")</f>
        <v/>
      </c>
      <c r="F46" s="72" t="str">
        <f>IF(Sammanställning!$F8&lt;&gt;"",Sammanställning!K8,"")</f>
        <v/>
      </c>
      <c r="G46" s="80" t="str">
        <f>IF(Sammanställning!$F8&lt;&gt;"",Sammanställning!G8,"")</f>
        <v/>
      </c>
      <c r="H46" s="97" t="str">
        <f>IF(Sammanställning!$F8&lt;&gt;"",Sammanställning!H8,"")</f>
        <v/>
      </c>
      <c r="I46" s="99" t="str">
        <f>IF(Sammanställning!$F8&lt;&gt;"",Sammanställning!I8,"")</f>
        <v/>
      </c>
      <c r="J46" s="101">
        <f t="shared" si="0"/>
        <v>0</v>
      </c>
      <c r="K46" s="103">
        <f t="shared" si="1"/>
        <v>0</v>
      </c>
      <c r="L46" s="81" cm="1">
        <f t="array" ref="L46">IFERROR(_xlfn.IFS(I46="/påbörjad h",H46*K46,I46="/tillfälle",H46,I46="/pers/påbörjad h",E46*H46*K46,I46="/pers",E46*H46,I46="/instruktör",E46*H46,I46="/instruktör/påbörjad h",E46*H46*K46,I46="/st",E46*H46,I46="/bord",E46*H46,I46="",0),0)</f>
        <v>0</v>
      </c>
      <c r="N46" s="65"/>
    </row>
    <row r="47" spans="1:14" ht="19.649999999999999" customHeight="1" x14ac:dyDescent="0.25">
      <c r="A47" s="75" t="str">
        <f>IF(Sammanställning!$F9&lt;&gt;"",Sammanställning!A9,"")</f>
        <v/>
      </c>
      <c r="B47" s="76" t="str">
        <f>IF(Sammanställning!$F9&lt;&gt;"",Sammanställning!B9,"")</f>
        <v/>
      </c>
      <c r="C47" s="77" t="str">
        <f>IF(Sammanställning!$F9&lt;&gt;"",Sammanställning!C9,"")</f>
        <v/>
      </c>
      <c r="D47" s="78" t="str">
        <f>IF(Sammanställning!$F9&lt;&gt;"",Sammanställning!D9,"")</f>
        <v/>
      </c>
      <c r="E47" s="79" t="str">
        <f>IF(Sammanställning!$F9&lt;&gt;"",Sammanställning!E9,"")</f>
        <v/>
      </c>
      <c r="F47" s="72" t="str">
        <f>IF(Sammanställning!$F9&lt;&gt;"",Sammanställning!K9,"")</f>
        <v/>
      </c>
      <c r="G47" s="80" t="str">
        <f>IF(Sammanställning!$F9&lt;&gt;"",Sammanställning!G9,"")</f>
        <v/>
      </c>
      <c r="H47" s="97" t="str">
        <f>IF(Sammanställning!$F9&lt;&gt;"",Sammanställning!H9,"")</f>
        <v/>
      </c>
      <c r="I47" s="99" t="str">
        <f>IF(Sammanställning!$F9&lt;&gt;"",Sammanställning!I9,"")</f>
        <v/>
      </c>
      <c r="J47" s="101">
        <f t="shared" si="0"/>
        <v>0</v>
      </c>
      <c r="K47" s="103">
        <f t="shared" si="1"/>
        <v>0</v>
      </c>
      <c r="L47" s="81" cm="1">
        <f t="array" ref="L47">IFERROR(_xlfn.IFS(I47="/påbörjad h",H47*K47,I47="/tillfälle",H47,I47="/pers/påbörjad h",E47*H47*K47,I47="/pers",E47*H47,I47="/instruktör",E47*H47,I47="/instruktör/påbörjad h",E47*H47*K47,I47="/st",E47*H47,I47="/bord",E47*H47,I47="",0),0)</f>
        <v>0</v>
      </c>
      <c r="N47" s="65"/>
    </row>
    <row r="48" spans="1:14" ht="19.649999999999999" customHeight="1" x14ac:dyDescent="0.25">
      <c r="A48" s="75" t="str">
        <f>IF(Sammanställning!$F10&lt;&gt;"",Sammanställning!A10,"")</f>
        <v/>
      </c>
      <c r="B48" s="76" t="str">
        <f>IF(Sammanställning!$F10&lt;&gt;"",Sammanställning!B10,"")</f>
        <v/>
      </c>
      <c r="C48" s="77" t="str">
        <f>IF(Sammanställning!$F10&lt;&gt;"",Sammanställning!C10,"")</f>
        <v/>
      </c>
      <c r="D48" s="78" t="str">
        <f>IF(Sammanställning!$F10&lt;&gt;"",Sammanställning!D10,"")</f>
        <v/>
      </c>
      <c r="E48" s="79" t="str">
        <f>IF(Sammanställning!$F10&lt;&gt;"",Sammanställning!E10,"")</f>
        <v/>
      </c>
      <c r="F48" s="72" t="str">
        <f>IF(Sammanställning!$F10&lt;&gt;"",Sammanställning!K10,"")</f>
        <v/>
      </c>
      <c r="G48" s="80" t="str">
        <f>IF(Sammanställning!$F10&lt;&gt;"",Sammanställning!G10,"")</f>
        <v/>
      </c>
      <c r="H48" s="97" t="str">
        <f>IF(Sammanställning!$F10&lt;&gt;"",Sammanställning!H10,"")</f>
        <v/>
      </c>
      <c r="I48" s="99" t="str">
        <f>IF(Sammanställning!$F10&lt;&gt;"",Sammanställning!I10,"")</f>
        <v/>
      </c>
      <c r="J48" s="101">
        <f t="shared" si="0"/>
        <v>0</v>
      </c>
      <c r="K48" s="103">
        <f t="shared" si="1"/>
        <v>0</v>
      </c>
      <c r="L48" s="81" cm="1">
        <f t="array" ref="L48">IFERROR(_xlfn.IFS(I48="/påbörjad h",H48*K48,I48="/tillfälle",H48,I48="/pers/påbörjad h",E48*H48*K48,I48="/pers",E48*H48,I48="/instruktör",E48*H48,I48="/instruktör/påbörjad h",E48*H48*K48,I48="/st",E48*H48,I48="/bord",E48*H48,I48="",0),0)</f>
        <v>0</v>
      </c>
      <c r="N48" s="65"/>
    </row>
    <row r="49" spans="1:14" ht="19.649999999999999" customHeight="1" x14ac:dyDescent="0.25">
      <c r="A49" s="75" t="str">
        <f>IF(Sammanställning!$F11&lt;&gt;"",Sammanställning!A11,"")</f>
        <v/>
      </c>
      <c r="B49" s="76" t="str">
        <f>IF(Sammanställning!$F11&lt;&gt;"",Sammanställning!B11,"")</f>
        <v/>
      </c>
      <c r="C49" s="77" t="str">
        <f>IF(Sammanställning!$F11&lt;&gt;"",Sammanställning!C11,"")</f>
        <v/>
      </c>
      <c r="D49" s="78" t="str">
        <f>IF(Sammanställning!$F11&lt;&gt;"",Sammanställning!D11,"")</f>
        <v/>
      </c>
      <c r="E49" s="79" t="str">
        <f>IF(Sammanställning!$F11&lt;&gt;"",Sammanställning!E11,"")</f>
        <v/>
      </c>
      <c r="F49" s="72" t="str">
        <f>IF(Sammanställning!$F11&lt;&gt;"",Sammanställning!K11,"")</f>
        <v/>
      </c>
      <c r="G49" s="80" t="str">
        <f>IF(Sammanställning!$F11&lt;&gt;"",Sammanställning!G11,"")</f>
        <v/>
      </c>
      <c r="H49" s="97" t="str">
        <f>IF(Sammanställning!$F11&lt;&gt;"",Sammanställning!H11,"")</f>
        <v/>
      </c>
      <c r="I49" s="99" t="str">
        <f>IF(Sammanställning!$F11&lt;&gt;"",Sammanställning!I11,"")</f>
        <v/>
      </c>
      <c r="J49" s="101">
        <f t="shared" si="0"/>
        <v>0</v>
      </c>
      <c r="K49" s="103">
        <f t="shared" si="1"/>
        <v>0</v>
      </c>
      <c r="L49" s="81" cm="1">
        <f t="array" ref="L49">IFERROR(_xlfn.IFS(I49="/påbörjad h",H49*K49,I49="/tillfälle",H49,I49="/pers/påbörjad h",E49*H49*K49,I49="/pers",E49*H49,I49="/instruktör",E49*H49,I49="/instruktör/påbörjad h",E49*H49*K49,I49="/st",E49*H49,I49="/bord",E49*H49,I49="",0),0)</f>
        <v>0</v>
      </c>
      <c r="N49" s="65"/>
    </row>
    <row r="50" spans="1:14" ht="19.649999999999999" customHeight="1" x14ac:dyDescent="0.25">
      <c r="A50" s="75" t="str">
        <f>IF(Sammanställning!$F12&lt;&gt;"",Sammanställning!A12,"")</f>
        <v/>
      </c>
      <c r="B50" s="76" t="str">
        <f>IF(Sammanställning!$F12&lt;&gt;"",Sammanställning!B12,"")</f>
        <v/>
      </c>
      <c r="C50" s="77" t="str">
        <f>IF(Sammanställning!$F12&lt;&gt;"",Sammanställning!C12,"")</f>
        <v/>
      </c>
      <c r="D50" s="78" t="str">
        <f>IF(Sammanställning!$F12&lt;&gt;"",Sammanställning!D12,"")</f>
        <v/>
      </c>
      <c r="E50" s="79" t="str">
        <f>IF(Sammanställning!$F12&lt;&gt;"",Sammanställning!E12,"")</f>
        <v/>
      </c>
      <c r="F50" s="72" t="str">
        <f>IF(Sammanställning!$F12&lt;&gt;"",Sammanställning!K12,"")</f>
        <v/>
      </c>
      <c r="G50" s="80" t="str">
        <f>IF(Sammanställning!$F12&lt;&gt;"",Sammanställning!G12,"")</f>
        <v/>
      </c>
      <c r="H50" s="97" t="str">
        <f>IF(Sammanställning!$F12&lt;&gt;"",Sammanställning!H12,"")</f>
        <v/>
      </c>
      <c r="I50" s="99" t="str">
        <f>IF(Sammanställning!$F12&lt;&gt;"",Sammanställning!I12,"")</f>
        <v/>
      </c>
      <c r="J50" s="101">
        <f t="shared" si="0"/>
        <v>0</v>
      </c>
      <c r="K50" s="103">
        <f t="shared" si="1"/>
        <v>0</v>
      </c>
      <c r="L50" s="81" cm="1">
        <f t="array" ref="L50">IFERROR(_xlfn.IFS(I50="/påbörjad h",H50*K50,I50="/tillfälle",H50,I50="/pers/påbörjad h",E50*H50*K50,I50="/pers",E50*H50,I50="/instruktör",E50*H50,I50="/instruktör/påbörjad h",E50*H50*K50,I50="/st",E50*H50,I50="/bord",E50*H50,I50="",0),0)</f>
        <v>0</v>
      </c>
      <c r="N50" s="65"/>
    </row>
    <row r="51" spans="1:14" ht="19.649999999999999" customHeight="1" x14ac:dyDescent="0.25">
      <c r="A51" s="75" t="str">
        <f>IF(Sammanställning!$F13&lt;&gt;"",Sammanställning!A13,"")</f>
        <v/>
      </c>
      <c r="B51" s="76" t="str">
        <f>IF(Sammanställning!$F13&lt;&gt;"",Sammanställning!B13,"")</f>
        <v/>
      </c>
      <c r="C51" s="77" t="str">
        <f>IF(Sammanställning!$F13&lt;&gt;"",Sammanställning!C13,"")</f>
        <v/>
      </c>
      <c r="D51" s="78" t="str">
        <f>IF(Sammanställning!$F13&lt;&gt;"",Sammanställning!D13,"")</f>
        <v/>
      </c>
      <c r="E51" s="79" t="str">
        <f>IF(Sammanställning!$F13&lt;&gt;"",Sammanställning!E13,"")</f>
        <v/>
      </c>
      <c r="F51" s="72" t="str">
        <f>IF(Sammanställning!$F13&lt;&gt;"",Sammanställning!K13,"")</f>
        <v/>
      </c>
      <c r="G51" s="80" t="str">
        <f>IF(Sammanställning!$F13&lt;&gt;"",Sammanställning!G13,"")</f>
        <v/>
      </c>
      <c r="H51" s="97" t="str">
        <f>IF(Sammanställning!$F13&lt;&gt;"",Sammanställning!H13,"")</f>
        <v/>
      </c>
      <c r="I51" s="99" t="str">
        <f>IF(Sammanställning!$F13&lt;&gt;"",Sammanställning!I13,"")</f>
        <v/>
      </c>
      <c r="J51" s="101">
        <f t="shared" si="0"/>
        <v>0</v>
      </c>
      <c r="K51" s="103">
        <f t="shared" si="1"/>
        <v>0</v>
      </c>
      <c r="L51" s="81" cm="1">
        <f t="array" ref="L51">IFERROR(_xlfn.IFS(I51="/påbörjad h",H51*K51,I51="/tillfälle",H51,I51="/pers/påbörjad h",E51*H51*K51,I51="/pers",E51*H51,I51="/instruktör",E51*H51,I51="/instruktör/påbörjad h",E51*H51*K51,I51="/st",E51*H51,I51="/bord",E51*H51,I51="",0),0)</f>
        <v>0</v>
      </c>
      <c r="N51" s="65"/>
    </row>
    <row r="52" spans="1:14" ht="19.649999999999999" customHeight="1" x14ac:dyDescent="0.25">
      <c r="A52" s="75" t="str">
        <f>IF(Sammanställning!$F14&lt;&gt;"",Sammanställning!A14,"")</f>
        <v/>
      </c>
      <c r="B52" s="76" t="str">
        <f>IF(Sammanställning!$F14&lt;&gt;"",Sammanställning!B14,"")</f>
        <v/>
      </c>
      <c r="C52" s="77" t="str">
        <f>IF(Sammanställning!$F14&lt;&gt;"",Sammanställning!C14,"")</f>
        <v/>
      </c>
      <c r="D52" s="78" t="str">
        <f>IF(Sammanställning!$F14&lt;&gt;"",Sammanställning!D14,"")</f>
        <v/>
      </c>
      <c r="E52" s="79" t="str">
        <f>IF(Sammanställning!$F14&lt;&gt;"",Sammanställning!E14,"")</f>
        <v/>
      </c>
      <c r="F52" s="72" t="str">
        <f>IF(Sammanställning!$F14&lt;&gt;"",Sammanställning!K14,"")</f>
        <v/>
      </c>
      <c r="G52" s="80" t="str">
        <f>IF(Sammanställning!$F14&lt;&gt;"",Sammanställning!G14,"")</f>
        <v/>
      </c>
      <c r="H52" s="97" t="str">
        <f>IF(Sammanställning!$F14&lt;&gt;"",Sammanställning!H14,"")</f>
        <v/>
      </c>
      <c r="I52" s="99" t="str">
        <f>IF(Sammanställning!$F14&lt;&gt;"",Sammanställning!I14,"")</f>
        <v/>
      </c>
      <c r="J52" s="101">
        <f t="shared" si="0"/>
        <v>0</v>
      </c>
      <c r="K52" s="103">
        <f t="shared" si="1"/>
        <v>0</v>
      </c>
      <c r="L52" s="81" cm="1">
        <f t="array" ref="L52">IFERROR(_xlfn.IFS(I52="/påbörjad h",H52*K52,I52="/tillfälle",H52,I52="/pers/påbörjad h",E52*H52*K52,I52="/pers",E52*H52,I52="/instruktör",E52*H52,I52="/instruktör/påbörjad h",E52*H52*K52,I52="/st",E52*H52,I52="/bord",E52*H52,I52="",0),0)</f>
        <v>0</v>
      </c>
      <c r="N52" s="65"/>
    </row>
    <row r="53" spans="1:14" ht="19.649999999999999" customHeight="1" x14ac:dyDescent="0.25">
      <c r="A53" s="75" t="str">
        <f>IF(Sammanställning!$F15&lt;&gt;"",Sammanställning!A15,"")</f>
        <v/>
      </c>
      <c r="B53" s="76" t="str">
        <f>IF(Sammanställning!$F15&lt;&gt;"",Sammanställning!B15,"")</f>
        <v/>
      </c>
      <c r="C53" s="77" t="str">
        <f>IF(Sammanställning!$F15&lt;&gt;"",Sammanställning!C15,"")</f>
        <v/>
      </c>
      <c r="D53" s="78" t="str">
        <f>IF(Sammanställning!$F15&lt;&gt;"",Sammanställning!D15,"")</f>
        <v/>
      </c>
      <c r="E53" s="79" t="str">
        <f>IF(Sammanställning!$F15&lt;&gt;"",Sammanställning!E15,"")</f>
        <v/>
      </c>
      <c r="F53" s="72" t="str">
        <f>IF(Sammanställning!$F15&lt;&gt;"",Sammanställning!K15,"")</f>
        <v/>
      </c>
      <c r="G53" s="80" t="str">
        <f>IF(Sammanställning!$F15&lt;&gt;"",Sammanställning!G15,"")</f>
        <v/>
      </c>
      <c r="H53" s="97" t="str">
        <f>IF(Sammanställning!$F15&lt;&gt;"",Sammanställning!H15,"")</f>
        <v/>
      </c>
      <c r="I53" s="99" t="str">
        <f>IF(Sammanställning!$F15&lt;&gt;"",Sammanställning!I15,"")</f>
        <v/>
      </c>
      <c r="J53" s="101">
        <f t="shared" si="0"/>
        <v>0</v>
      </c>
      <c r="K53" s="103">
        <f t="shared" si="1"/>
        <v>0</v>
      </c>
      <c r="L53" s="81" cm="1">
        <f t="array" ref="L53">IFERROR(_xlfn.IFS(I53="/påbörjad h",H53*K53,I53="/tillfälle",H53,I53="/pers/påbörjad h",E53*H53*K53,I53="/pers",E53*H53,I53="/instruktör",E53*H53,I53="/instruktör/påbörjad h",E53*H53*K53,I53="/st",E53*H53,I53="/bord",E53*H53,I53="",0),0)</f>
        <v>0</v>
      </c>
      <c r="N53" s="65"/>
    </row>
    <row r="54" spans="1:14" ht="19.649999999999999" customHeight="1" x14ac:dyDescent="0.25">
      <c r="A54" s="75" t="str">
        <f>IF(Sammanställning!$F16&lt;&gt;"",Sammanställning!A16,"")</f>
        <v/>
      </c>
      <c r="B54" s="76" t="str">
        <f>IF(Sammanställning!$F16&lt;&gt;"",Sammanställning!B16,"")</f>
        <v/>
      </c>
      <c r="C54" s="77" t="str">
        <f>IF(Sammanställning!$F16&lt;&gt;"",Sammanställning!C16,"")</f>
        <v/>
      </c>
      <c r="D54" s="78" t="str">
        <f>IF(Sammanställning!$F16&lt;&gt;"",Sammanställning!D16,"")</f>
        <v/>
      </c>
      <c r="E54" s="79" t="str">
        <f>IF(Sammanställning!$F16&lt;&gt;"",Sammanställning!E16,"")</f>
        <v/>
      </c>
      <c r="F54" s="72" t="str">
        <f>IF(Sammanställning!$F16&lt;&gt;"",Sammanställning!K16,"")</f>
        <v/>
      </c>
      <c r="G54" s="80" t="str">
        <f>IF(Sammanställning!$F16&lt;&gt;"",Sammanställning!G16,"")</f>
        <v/>
      </c>
      <c r="H54" s="97" t="str">
        <f>IF(Sammanställning!$F16&lt;&gt;"",Sammanställning!H16,"")</f>
        <v/>
      </c>
      <c r="I54" s="99" t="str">
        <f>IF(Sammanställning!$F16&lt;&gt;"",Sammanställning!I16,"")</f>
        <v/>
      </c>
      <c r="J54" s="101">
        <f t="shared" si="0"/>
        <v>0</v>
      </c>
      <c r="K54" s="103">
        <f t="shared" si="1"/>
        <v>0</v>
      </c>
      <c r="L54" s="81" cm="1">
        <f t="array" ref="L54">IFERROR(_xlfn.IFS(I54="/påbörjad h",H54*K54,I54="/tillfälle",H54,I54="/pers/påbörjad h",E54*H54*K54,I54="/pers",E54*H54,I54="/instruktör",E54*H54,I54="/instruktör/påbörjad h",E54*H54*K54,I54="/st",E54*H54,I54="/bord",E54*H54,I54="",0),0)</f>
        <v>0</v>
      </c>
      <c r="N54" s="65"/>
    </row>
    <row r="55" spans="1:14" ht="19.649999999999999" customHeight="1" x14ac:dyDescent="0.25">
      <c r="A55" s="75" t="str">
        <f>IF(Sammanställning!$F17&lt;&gt;"",Sammanställning!A17,"")</f>
        <v/>
      </c>
      <c r="B55" s="76" t="str">
        <f>IF(Sammanställning!$F17&lt;&gt;"",Sammanställning!B17,"")</f>
        <v/>
      </c>
      <c r="C55" s="77" t="str">
        <f>IF(Sammanställning!$F17&lt;&gt;"",Sammanställning!C17,"")</f>
        <v/>
      </c>
      <c r="D55" s="78" t="str">
        <f>IF(Sammanställning!$F17&lt;&gt;"",Sammanställning!D17,"")</f>
        <v/>
      </c>
      <c r="E55" s="79" t="str">
        <f>IF(Sammanställning!$F17&lt;&gt;"",Sammanställning!E17,"")</f>
        <v/>
      </c>
      <c r="F55" s="72" t="str">
        <f>IF(Sammanställning!$F17&lt;&gt;"",Sammanställning!K17,"")</f>
        <v/>
      </c>
      <c r="G55" s="80" t="str">
        <f>IF(Sammanställning!$F17&lt;&gt;"",Sammanställning!G17,"")</f>
        <v/>
      </c>
      <c r="H55" s="97" t="str">
        <f>IF(Sammanställning!$F17&lt;&gt;"",Sammanställning!H17,"")</f>
        <v/>
      </c>
      <c r="I55" s="99" t="str">
        <f>IF(Sammanställning!$F17&lt;&gt;"",Sammanställning!I17,"")</f>
        <v/>
      </c>
      <c r="J55" s="101">
        <f t="shared" si="0"/>
        <v>0</v>
      </c>
      <c r="K55" s="103">
        <f t="shared" si="1"/>
        <v>0</v>
      </c>
      <c r="L55" s="81" cm="1">
        <f t="array" ref="L55">IFERROR(_xlfn.IFS(I55="/påbörjad h",H55*K55,I55="/tillfälle",H55,I55="/pers/påbörjad h",E55*H55*K55,I55="/pers",E55*H55,I55="/instruktör",E55*H55,I55="/instruktör/påbörjad h",E55*H55*K55,I55="/st",E55*H55,I55="/bord",E55*H55,I55="",0),0)</f>
        <v>0</v>
      </c>
      <c r="N55" s="65"/>
    </row>
    <row r="56" spans="1:14" ht="19.649999999999999" customHeight="1" x14ac:dyDescent="0.25">
      <c r="A56" s="75" t="str">
        <f>IF(Sammanställning!$F18&lt;&gt;"",Sammanställning!A18,"")</f>
        <v/>
      </c>
      <c r="B56" s="76" t="str">
        <f>IF(Sammanställning!$F18&lt;&gt;"",Sammanställning!B18,"")</f>
        <v/>
      </c>
      <c r="C56" s="77" t="str">
        <f>IF(Sammanställning!$F18&lt;&gt;"",Sammanställning!C18,"")</f>
        <v/>
      </c>
      <c r="D56" s="78" t="str">
        <f>IF(Sammanställning!$F18&lt;&gt;"",Sammanställning!D18,"")</f>
        <v/>
      </c>
      <c r="E56" s="79" t="str">
        <f>IF(Sammanställning!$F18&lt;&gt;"",Sammanställning!E18,"")</f>
        <v/>
      </c>
      <c r="F56" s="72" t="str">
        <f>IF(Sammanställning!$F18&lt;&gt;"",Sammanställning!K18,"")</f>
        <v/>
      </c>
      <c r="G56" s="80" t="str">
        <f>IF(Sammanställning!$F18&lt;&gt;"",Sammanställning!G18,"")</f>
        <v/>
      </c>
      <c r="H56" s="97" t="str">
        <f>IF(Sammanställning!$F18&lt;&gt;"",Sammanställning!H18,"")</f>
        <v/>
      </c>
      <c r="I56" s="99" t="str">
        <f>IF(Sammanställning!$F18&lt;&gt;"",Sammanställning!I18,"")</f>
        <v/>
      </c>
      <c r="J56" s="101">
        <f t="shared" si="0"/>
        <v>0</v>
      </c>
      <c r="K56" s="103">
        <f t="shared" si="1"/>
        <v>0</v>
      </c>
      <c r="L56" s="81" cm="1">
        <f t="array" ref="L56">IFERROR(_xlfn.IFS(I56="/påbörjad h",H56*K56,I56="/tillfälle",H56,I56="/pers/påbörjad h",E56*H56*K56,I56="/pers",E56*H56,I56="/instruktör",E56*H56,I56="/instruktör/påbörjad h",E56*H56*K56,I56="/st",E56*H56,I56="/bord",E56*H56,I56="",0),0)</f>
        <v>0</v>
      </c>
      <c r="N56" s="65"/>
    </row>
    <row r="57" spans="1:14" ht="19.649999999999999" customHeight="1" x14ac:dyDescent="0.25">
      <c r="A57" s="75" t="str">
        <f>IF(Sammanställning!$F19&lt;&gt;"",Sammanställning!A19,"")</f>
        <v/>
      </c>
      <c r="B57" s="76" t="str">
        <f>IF(Sammanställning!$F19&lt;&gt;"",Sammanställning!B19,"")</f>
        <v/>
      </c>
      <c r="C57" s="77" t="str">
        <f>IF(Sammanställning!$F19&lt;&gt;"",Sammanställning!C19,"")</f>
        <v/>
      </c>
      <c r="D57" s="78" t="str">
        <f>IF(Sammanställning!$F19&lt;&gt;"",Sammanställning!D19,"")</f>
        <v/>
      </c>
      <c r="E57" s="79" t="str">
        <f>IF(Sammanställning!$F19&lt;&gt;"",Sammanställning!E19,"")</f>
        <v/>
      </c>
      <c r="F57" s="72" t="str">
        <f>IF(Sammanställning!$F19&lt;&gt;"",Sammanställning!K19,"")</f>
        <v/>
      </c>
      <c r="G57" s="80" t="str">
        <f>IF(Sammanställning!$F19&lt;&gt;"",Sammanställning!G19,"")</f>
        <v/>
      </c>
      <c r="H57" s="97" t="str">
        <f>IF(Sammanställning!$F19&lt;&gt;"",Sammanställning!H19,"")</f>
        <v/>
      </c>
      <c r="I57" s="99" t="str">
        <f>IF(Sammanställning!$F19&lt;&gt;"",Sammanställning!I19,"")</f>
        <v/>
      </c>
      <c r="J57" s="101">
        <f t="shared" si="0"/>
        <v>0</v>
      </c>
      <c r="K57" s="103">
        <f t="shared" si="1"/>
        <v>0</v>
      </c>
      <c r="L57" s="81" cm="1">
        <f t="array" ref="L57">IFERROR(_xlfn.IFS(I57="/påbörjad h",H57*K57,I57="/tillfälle",H57,I57="/pers/påbörjad h",E57*H57*K57,I57="/pers",E57*H57,I57="/instruktör",E57*H57,I57="/instruktör/påbörjad h",E57*H57*K57,I57="/st",E57*H57,I57="/bord",E57*H57,I57="",0),0)</f>
        <v>0</v>
      </c>
      <c r="N57" s="65"/>
    </row>
    <row r="58" spans="1:14" ht="19.649999999999999" customHeight="1" x14ac:dyDescent="0.25">
      <c r="A58" s="75" t="str">
        <f>IF(Sammanställning!$F20&lt;&gt;"",Sammanställning!A20,"")</f>
        <v/>
      </c>
      <c r="B58" s="76" t="str">
        <f>IF(Sammanställning!$F20&lt;&gt;"",Sammanställning!B20,"")</f>
        <v/>
      </c>
      <c r="C58" s="77" t="str">
        <f>IF(Sammanställning!$F20&lt;&gt;"",Sammanställning!C20,"")</f>
        <v/>
      </c>
      <c r="D58" s="78" t="str">
        <f>IF(Sammanställning!$F20&lt;&gt;"",Sammanställning!D20,"")</f>
        <v/>
      </c>
      <c r="E58" s="79" t="str">
        <f>IF(Sammanställning!$F20&lt;&gt;"",Sammanställning!E20,"")</f>
        <v/>
      </c>
      <c r="F58" s="72" t="str">
        <f>IF(Sammanställning!$F20&lt;&gt;"",Sammanställning!K20,"")</f>
        <v/>
      </c>
      <c r="G58" s="80" t="str">
        <f>IF(Sammanställning!$F20&lt;&gt;"",Sammanställning!G20,"")</f>
        <v/>
      </c>
      <c r="H58" s="97" t="str">
        <f>IF(Sammanställning!$F20&lt;&gt;"",Sammanställning!H20,"")</f>
        <v/>
      </c>
      <c r="I58" s="99" t="str">
        <f>IF(Sammanställning!$F20&lt;&gt;"",Sammanställning!I20,"")</f>
        <v/>
      </c>
      <c r="J58" s="101">
        <f t="shared" si="0"/>
        <v>0</v>
      </c>
      <c r="K58" s="103">
        <f t="shared" si="1"/>
        <v>0</v>
      </c>
      <c r="L58" s="81" cm="1">
        <f t="array" ref="L58">IFERROR(_xlfn.IFS(I58="/påbörjad h",H58*K58,I58="/tillfälle",H58,I58="/pers/påbörjad h",E58*H58*K58,I58="/pers",E58*H58,I58="/instruktör",E58*H58,I58="/instruktör/påbörjad h",E58*H58*K58,I58="/st",E58*H58,I58="/bord",E58*H58,I58="",0),0)</f>
        <v>0</v>
      </c>
      <c r="N58" s="65"/>
    </row>
    <row r="59" spans="1:14" ht="19.649999999999999" customHeight="1" x14ac:dyDescent="0.25">
      <c r="A59" s="75" t="str">
        <f>IF(Sammanställning!$F21&lt;&gt;"",Sammanställning!A21,"")</f>
        <v/>
      </c>
      <c r="B59" s="76" t="str">
        <f>IF(Sammanställning!$F21&lt;&gt;"",Sammanställning!B21,"")</f>
        <v/>
      </c>
      <c r="C59" s="77" t="str">
        <f>IF(Sammanställning!$F21&lt;&gt;"",Sammanställning!C21,"")</f>
        <v/>
      </c>
      <c r="D59" s="78" t="str">
        <f>IF(Sammanställning!$F21&lt;&gt;"",Sammanställning!D21,"")</f>
        <v/>
      </c>
      <c r="E59" s="79" t="str">
        <f>IF(Sammanställning!$F21&lt;&gt;"",Sammanställning!E21,"")</f>
        <v/>
      </c>
      <c r="F59" s="72" t="str">
        <f>IF(Sammanställning!$F21&lt;&gt;"",Sammanställning!K21,"")</f>
        <v/>
      </c>
      <c r="G59" s="80" t="str">
        <f>IF(Sammanställning!$F21&lt;&gt;"",Sammanställning!G21,"")</f>
        <v/>
      </c>
      <c r="H59" s="97" t="str">
        <f>IF(Sammanställning!$F21&lt;&gt;"",Sammanställning!H21,"")</f>
        <v/>
      </c>
      <c r="I59" s="99" t="str">
        <f>IF(Sammanställning!$F21&lt;&gt;"",Sammanställning!I21,"")</f>
        <v/>
      </c>
      <c r="J59" s="101">
        <f t="shared" si="0"/>
        <v>0</v>
      </c>
      <c r="K59" s="103">
        <f t="shared" si="1"/>
        <v>0</v>
      </c>
      <c r="L59" s="81" cm="1">
        <f t="array" ref="L59">IFERROR(_xlfn.IFS(I59="/påbörjad h",H59*K59,I59="/tillfälle",H59,I59="/pers/påbörjad h",E59*H59*K59,I59="/pers",E59*H59,I59="/instruktör",E59*H59,I59="/instruktör/påbörjad h",E59*H59*K59,I59="/st",E59*H59,I59="/bord",E59*H59,I59="",0),0)</f>
        <v>0</v>
      </c>
      <c r="N59" s="65"/>
    </row>
    <row r="60" spans="1:14" ht="19.649999999999999" customHeight="1" x14ac:dyDescent="0.25">
      <c r="A60" s="75" t="str">
        <f>IF(Sammanställning!$F22&lt;&gt;"",Sammanställning!A22,"")</f>
        <v/>
      </c>
      <c r="B60" s="76" t="str">
        <f>IF(Sammanställning!$F22&lt;&gt;"",Sammanställning!B22,"")</f>
        <v/>
      </c>
      <c r="C60" s="77" t="str">
        <f>IF(Sammanställning!$F22&lt;&gt;"",Sammanställning!C22,"")</f>
        <v/>
      </c>
      <c r="D60" s="78" t="str">
        <f>IF(Sammanställning!$F22&lt;&gt;"",Sammanställning!D22,"")</f>
        <v/>
      </c>
      <c r="E60" s="79" t="str">
        <f>IF(Sammanställning!$F22&lt;&gt;"",Sammanställning!E22,"")</f>
        <v/>
      </c>
      <c r="F60" s="72" t="str">
        <f>IF(Sammanställning!$F22&lt;&gt;"",Sammanställning!K22,"")</f>
        <v/>
      </c>
      <c r="G60" s="80" t="str">
        <f>IF(Sammanställning!$F22&lt;&gt;"",Sammanställning!G22,"")</f>
        <v/>
      </c>
      <c r="H60" s="97" t="str">
        <f>IF(Sammanställning!$F22&lt;&gt;"",Sammanställning!H22,"")</f>
        <v/>
      </c>
      <c r="I60" s="99" t="str">
        <f>IF(Sammanställning!$F22&lt;&gt;"",Sammanställning!I22,"")</f>
        <v/>
      </c>
      <c r="J60" s="101">
        <f t="shared" si="0"/>
        <v>0</v>
      </c>
      <c r="K60" s="103">
        <f t="shared" si="1"/>
        <v>0</v>
      </c>
      <c r="L60" s="81" cm="1">
        <f t="array" ref="L60">IFERROR(_xlfn.IFS(I60="/påbörjad h",H60*K60,I60="/tillfälle",H60,I60="/pers/påbörjad h",E60*H60*K60,I60="/pers",E60*H60,I60="/instruktör",E60*H60,I60="/instruktör/påbörjad h",E60*H60*K60,I60="/st",E60*H60,I60="/bord",E60*H60,I60="",0),0)</f>
        <v>0</v>
      </c>
      <c r="N60" s="65"/>
    </row>
    <row r="61" spans="1:14" ht="19.649999999999999" customHeight="1" x14ac:dyDescent="0.25">
      <c r="A61" s="75" t="str">
        <f>IF(Sammanställning!$F23&lt;&gt;"",Sammanställning!A23,"")</f>
        <v/>
      </c>
      <c r="B61" s="76" t="str">
        <f>IF(Sammanställning!$F23&lt;&gt;"",Sammanställning!B23,"")</f>
        <v/>
      </c>
      <c r="C61" s="77" t="str">
        <f>IF(Sammanställning!$F23&lt;&gt;"",Sammanställning!C23,"")</f>
        <v/>
      </c>
      <c r="D61" s="78" t="str">
        <f>IF(Sammanställning!$F23&lt;&gt;"",Sammanställning!D23,"")</f>
        <v/>
      </c>
      <c r="E61" s="79" t="str">
        <f>IF(Sammanställning!$F23&lt;&gt;"",Sammanställning!E23,"")</f>
        <v/>
      </c>
      <c r="F61" s="72" t="str">
        <f>IF(Sammanställning!$F23&lt;&gt;"",Sammanställning!K23,"")</f>
        <v/>
      </c>
      <c r="G61" s="80" t="str">
        <f>IF(Sammanställning!$F23&lt;&gt;"",Sammanställning!G23,"")</f>
        <v/>
      </c>
      <c r="H61" s="97" t="str">
        <f>IF(Sammanställning!$F23&lt;&gt;"",Sammanställning!H23,"")</f>
        <v/>
      </c>
      <c r="I61" s="99" t="str">
        <f>IF(Sammanställning!$F23&lt;&gt;"",Sammanställning!I23,"")</f>
        <v/>
      </c>
      <c r="J61" s="101">
        <f t="shared" si="0"/>
        <v>0</v>
      </c>
      <c r="K61" s="103">
        <f t="shared" si="1"/>
        <v>0</v>
      </c>
      <c r="L61" s="81" cm="1">
        <f t="array" ref="L61">IFERROR(_xlfn.IFS(I61="/påbörjad h",H61*K61,I61="/tillfälle",H61,I61="/pers/påbörjad h",E61*H61*K61,I61="/pers",E61*H61,I61="/instruktör",E61*H61,I61="/instruktör/påbörjad h",E61*H61*K61,I61="/st",E61*H61,I61="/bord",E61*H61,I61="",0),0)</f>
        <v>0</v>
      </c>
      <c r="N61" s="65"/>
    </row>
    <row r="62" spans="1:14" ht="19.649999999999999" customHeight="1" x14ac:dyDescent="0.25">
      <c r="A62" s="75" t="str">
        <f>IF(Sammanställning!$F24&lt;&gt;"",Sammanställning!A24,"")</f>
        <v/>
      </c>
      <c r="B62" s="76" t="str">
        <f>IF(Sammanställning!$F24&lt;&gt;"",Sammanställning!B24,"")</f>
        <v/>
      </c>
      <c r="C62" s="77" t="str">
        <f>IF(Sammanställning!$F24&lt;&gt;"",Sammanställning!C24,"")</f>
        <v/>
      </c>
      <c r="D62" s="78" t="str">
        <f>IF(Sammanställning!$F24&lt;&gt;"",Sammanställning!D24,"")</f>
        <v/>
      </c>
      <c r="E62" s="79" t="str">
        <f>IF(Sammanställning!$F24&lt;&gt;"",Sammanställning!E24,"")</f>
        <v/>
      </c>
      <c r="F62" s="72" t="str">
        <f>IF(Sammanställning!$F24&lt;&gt;"",Sammanställning!K24,"")</f>
        <v/>
      </c>
      <c r="G62" s="80" t="str">
        <f>IF(Sammanställning!$F24&lt;&gt;"",Sammanställning!G24,"")</f>
        <v/>
      </c>
      <c r="H62" s="97" t="str">
        <f>IF(Sammanställning!$F24&lt;&gt;"",Sammanställning!H24,"")</f>
        <v/>
      </c>
      <c r="I62" s="99" t="str">
        <f>IF(Sammanställning!$F24&lt;&gt;"",Sammanställning!I24,"")</f>
        <v/>
      </c>
      <c r="J62" s="101">
        <f t="shared" si="0"/>
        <v>0</v>
      </c>
      <c r="K62" s="103">
        <f t="shared" si="1"/>
        <v>0</v>
      </c>
      <c r="L62" s="81" cm="1">
        <f t="array" ref="L62">IFERROR(_xlfn.IFS(I62="/påbörjad h",H62*K62,I62="/tillfälle",H62,I62="/pers/påbörjad h",E62*H62*K62,I62="/pers",E62*H62,I62="/instruktör",E62*H62,I62="/instruktör/påbörjad h",E62*H62*K62,I62="/st",E62*H62,I62="/bord",E62*H62,I62="",0),0)</f>
        <v>0</v>
      </c>
      <c r="N62" s="65"/>
    </row>
    <row r="63" spans="1:14" ht="19.649999999999999" customHeight="1" x14ac:dyDescent="0.25">
      <c r="A63" s="75" t="str">
        <f>IF(Sammanställning!$F25&lt;&gt;"",Sammanställning!A25,"")</f>
        <v/>
      </c>
      <c r="B63" s="76" t="str">
        <f>IF(Sammanställning!$F25&lt;&gt;"",Sammanställning!B25,"")</f>
        <v/>
      </c>
      <c r="C63" s="77" t="str">
        <f>IF(Sammanställning!$F25&lt;&gt;"",Sammanställning!C25,"")</f>
        <v/>
      </c>
      <c r="D63" s="78" t="str">
        <f>IF(Sammanställning!$F25&lt;&gt;"",Sammanställning!D25,"")</f>
        <v/>
      </c>
      <c r="E63" s="79" t="str">
        <f>IF(Sammanställning!$F25&lt;&gt;"",Sammanställning!E25,"")</f>
        <v/>
      </c>
      <c r="F63" s="72" t="str">
        <f>IF(Sammanställning!$F25&lt;&gt;"",Sammanställning!K25,"")</f>
        <v/>
      </c>
      <c r="G63" s="80" t="str">
        <f>IF(Sammanställning!$F25&lt;&gt;"",Sammanställning!G25,"")</f>
        <v/>
      </c>
      <c r="H63" s="97" t="str">
        <f>IF(Sammanställning!$F25&lt;&gt;"",Sammanställning!H25,"")</f>
        <v/>
      </c>
      <c r="I63" s="99" t="str">
        <f>IF(Sammanställning!$F25&lt;&gt;"",Sammanställning!I25,"")</f>
        <v/>
      </c>
      <c r="J63" s="101">
        <f t="shared" si="0"/>
        <v>0</v>
      </c>
      <c r="K63" s="103">
        <f t="shared" si="1"/>
        <v>0</v>
      </c>
      <c r="L63" s="81" cm="1">
        <f t="array" ref="L63">IFERROR(_xlfn.IFS(I63="/påbörjad h",H63*K63,I63="/tillfälle",H63,I63="/pers/påbörjad h",E63*H63*K63,I63="/pers",E63*H63,I63="/instruktör",E63*H63,I63="/instruktör/påbörjad h",E63*H63*K63,I63="/st",E63*H63,I63="/bord",E63*H63,I63="",0),0)</f>
        <v>0</v>
      </c>
      <c r="N63" s="65"/>
    </row>
    <row r="64" spans="1:14" ht="19.649999999999999" customHeight="1" x14ac:dyDescent="0.25">
      <c r="A64" s="75" t="str">
        <f>IF(Sammanställning!$F26&lt;&gt;"",Sammanställning!A26,"")</f>
        <v/>
      </c>
      <c r="B64" s="76" t="str">
        <f>IF(Sammanställning!$F26&lt;&gt;"",Sammanställning!B26,"")</f>
        <v/>
      </c>
      <c r="C64" s="77" t="str">
        <f>IF(Sammanställning!$F26&lt;&gt;"",Sammanställning!C26,"")</f>
        <v/>
      </c>
      <c r="D64" s="78" t="str">
        <f>IF(Sammanställning!$F26&lt;&gt;"",Sammanställning!D26,"")</f>
        <v/>
      </c>
      <c r="E64" s="79" t="str">
        <f>IF(Sammanställning!$F26&lt;&gt;"",Sammanställning!E26,"")</f>
        <v/>
      </c>
      <c r="F64" s="72" t="str">
        <f>IF(Sammanställning!$F26&lt;&gt;"",Sammanställning!K26,"")</f>
        <v/>
      </c>
      <c r="G64" s="80" t="str">
        <f>IF(Sammanställning!$F26&lt;&gt;"",Sammanställning!G26,"")</f>
        <v/>
      </c>
      <c r="H64" s="97" t="str">
        <f>IF(Sammanställning!$F26&lt;&gt;"",Sammanställning!H26,"")</f>
        <v/>
      </c>
      <c r="I64" s="99" t="str">
        <f>IF(Sammanställning!$F26&lt;&gt;"",Sammanställning!I26,"")</f>
        <v/>
      </c>
      <c r="J64" s="101">
        <f t="shared" si="0"/>
        <v>0</v>
      </c>
      <c r="K64" s="103">
        <f t="shared" si="1"/>
        <v>0</v>
      </c>
      <c r="L64" s="81" cm="1">
        <f t="array" ref="L64">IFERROR(_xlfn.IFS(I64="/påbörjad h",H64*K64,I64="/tillfälle",H64,I64="/pers/påbörjad h",E64*H64*K64,I64="/pers",E64*H64,I64="/instruktör",E64*H64,I64="/instruktör/påbörjad h",E64*H64*K64,I64="/st",E64*H64,I64="/bord",E64*H64,I64="",0),0)</f>
        <v>0</v>
      </c>
      <c r="N64" s="65"/>
    </row>
    <row r="65" spans="1:14" ht="19.649999999999999" customHeight="1" x14ac:dyDescent="0.25">
      <c r="A65" s="75" t="str">
        <f>IF(Sammanställning!$F27&lt;&gt;"",Sammanställning!A27,"")</f>
        <v/>
      </c>
      <c r="B65" s="76" t="str">
        <f>IF(Sammanställning!$F27&lt;&gt;"",Sammanställning!B27,"")</f>
        <v/>
      </c>
      <c r="C65" s="77" t="str">
        <f>IF(Sammanställning!$F27&lt;&gt;"",Sammanställning!C27,"")</f>
        <v/>
      </c>
      <c r="D65" s="78" t="str">
        <f>IF(Sammanställning!$F27&lt;&gt;"",Sammanställning!D27,"")</f>
        <v/>
      </c>
      <c r="E65" s="79" t="str">
        <f>IF(Sammanställning!$F27&lt;&gt;"",Sammanställning!E27,"")</f>
        <v/>
      </c>
      <c r="F65" s="72" t="str">
        <f>IF(Sammanställning!$F27&lt;&gt;"",Sammanställning!K27,"")</f>
        <v/>
      </c>
      <c r="G65" s="80" t="str">
        <f>IF(Sammanställning!$F27&lt;&gt;"",Sammanställning!G27,"")</f>
        <v/>
      </c>
      <c r="H65" s="97" t="str">
        <f>IF(Sammanställning!$F27&lt;&gt;"",Sammanställning!H27,"")</f>
        <v/>
      </c>
      <c r="I65" s="99" t="str">
        <f>IF(Sammanställning!$F27&lt;&gt;"",Sammanställning!I27,"")</f>
        <v/>
      </c>
      <c r="J65" s="101">
        <f t="shared" si="0"/>
        <v>0</v>
      </c>
      <c r="K65" s="103">
        <f t="shared" si="1"/>
        <v>0</v>
      </c>
      <c r="L65" s="81" cm="1">
        <f t="array" ref="L65">IFERROR(_xlfn.IFS(I65="/påbörjad h",H65*K65,I65="/tillfälle",H65,I65="/pers/påbörjad h",E65*H65*K65,I65="/pers",E65*H65,I65="/instruktör",E65*H65,I65="/instruktör/påbörjad h",E65*H65*K65,I65="/st",E65*H65,I65="/bord",E65*H65,I65="",0),0)</f>
        <v>0</v>
      </c>
      <c r="N65" s="65"/>
    </row>
    <row r="66" spans="1:14" ht="19.649999999999999" customHeight="1" x14ac:dyDescent="0.25">
      <c r="A66" s="75" t="str">
        <f>IF(Sammanställning!$F28&lt;&gt;"",Sammanställning!A28,"")</f>
        <v/>
      </c>
      <c r="B66" s="76" t="str">
        <f>IF(Sammanställning!$F28&lt;&gt;"",Sammanställning!B28,"")</f>
        <v/>
      </c>
      <c r="C66" s="77" t="str">
        <f>IF(Sammanställning!$F28&lt;&gt;"",Sammanställning!C28,"")</f>
        <v/>
      </c>
      <c r="D66" s="78" t="str">
        <f>IF(Sammanställning!$F28&lt;&gt;"",Sammanställning!D28,"")</f>
        <v/>
      </c>
      <c r="E66" s="79" t="str">
        <f>IF(Sammanställning!$F28&lt;&gt;"",Sammanställning!E28,"")</f>
        <v/>
      </c>
      <c r="F66" s="72" t="str">
        <f>IF(Sammanställning!$F28&lt;&gt;"",Sammanställning!K28,"")</f>
        <v/>
      </c>
      <c r="G66" s="80" t="str">
        <f>IF(Sammanställning!$F28&lt;&gt;"",Sammanställning!G28,"")</f>
        <v/>
      </c>
      <c r="H66" s="97" t="str">
        <f>IF(Sammanställning!$F28&lt;&gt;"",Sammanställning!H28,"")</f>
        <v/>
      </c>
      <c r="I66" s="99" t="str">
        <f>IF(Sammanställning!$F28&lt;&gt;"",Sammanställning!I28,"")</f>
        <v/>
      </c>
      <c r="J66" s="101">
        <f t="shared" si="0"/>
        <v>0</v>
      </c>
      <c r="K66" s="103">
        <f t="shared" si="1"/>
        <v>0</v>
      </c>
      <c r="L66" s="81" cm="1">
        <f t="array" ref="L66">IFERROR(_xlfn.IFS(I66="/påbörjad h",H66*K66,I66="/tillfälle",H66,I66="/pers/påbörjad h",E66*H66*K66,I66="/pers",E66*H66,I66="/instruktör",E66*H66,I66="/instruktör/påbörjad h",E66*H66*K66,I66="/st",E66*H66,I66="/bord",E66*H66,I66="",0),0)</f>
        <v>0</v>
      </c>
      <c r="N66" s="65"/>
    </row>
    <row r="67" spans="1:14" ht="19.649999999999999" customHeight="1" x14ac:dyDescent="0.25">
      <c r="A67" s="75" t="str">
        <f>IF(Sammanställning!$F29&lt;&gt;"",Sammanställning!A29,"")</f>
        <v/>
      </c>
      <c r="B67" s="76" t="str">
        <f>IF(Sammanställning!$F29&lt;&gt;"",Sammanställning!B29,"")</f>
        <v/>
      </c>
      <c r="C67" s="77" t="str">
        <f>IF(Sammanställning!$F29&lt;&gt;"",Sammanställning!C29,"")</f>
        <v/>
      </c>
      <c r="D67" s="78" t="str">
        <f>IF(Sammanställning!$F29&lt;&gt;"",Sammanställning!D29,"")</f>
        <v/>
      </c>
      <c r="E67" s="79" t="str">
        <f>IF(Sammanställning!$F29&lt;&gt;"",Sammanställning!E29,"")</f>
        <v/>
      </c>
      <c r="F67" s="72" t="str">
        <f>IF(Sammanställning!$F29&lt;&gt;"",Sammanställning!K29,"")</f>
        <v/>
      </c>
      <c r="G67" s="80" t="str">
        <f>IF(Sammanställning!$F29&lt;&gt;"",Sammanställning!G29,"")</f>
        <v/>
      </c>
      <c r="H67" s="97" t="str">
        <f>IF(Sammanställning!$F29&lt;&gt;"",Sammanställning!H29,"")</f>
        <v/>
      </c>
      <c r="I67" s="99" t="str">
        <f>IF(Sammanställning!$F29&lt;&gt;"",Sammanställning!I29,"")</f>
        <v/>
      </c>
      <c r="J67" s="101">
        <f t="shared" si="0"/>
        <v>0</v>
      </c>
      <c r="K67" s="103">
        <f t="shared" si="1"/>
        <v>0</v>
      </c>
      <c r="L67" s="81" cm="1">
        <f t="array" ref="L67">IFERROR(_xlfn.IFS(I67="/påbörjad h",H67*K67,I67="/tillfälle",H67,I67="/pers/påbörjad h",E67*H67*K67,I67="/pers",E67*H67,I67="/instruktör",E67*H67,I67="/instruktör/påbörjad h",E67*H67*K67,I67="/st",E67*H67,I67="/bord",E67*H67,I67="",0),0)</f>
        <v>0</v>
      </c>
      <c r="N67" s="65"/>
    </row>
    <row r="68" spans="1:14" ht="19.649999999999999" customHeight="1" x14ac:dyDescent="0.25">
      <c r="A68" s="75" t="str">
        <f>IF(Sammanställning!$F30&lt;&gt;"",Sammanställning!A30,"")</f>
        <v/>
      </c>
      <c r="B68" s="76" t="str">
        <f>IF(Sammanställning!$F30&lt;&gt;"",Sammanställning!B30,"")</f>
        <v/>
      </c>
      <c r="C68" s="77" t="str">
        <f>IF(Sammanställning!$F30&lt;&gt;"",Sammanställning!C30,"")</f>
        <v/>
      </c>
      <c r="D68" s="78" t="str">
        <f>IF(Sammanställning!$F30&lt;&gt;"",Sammanställning!D30,"")</f>
        <v/>
      </c>
      <c r="E68" s="79" t="str">
        <f>IF(Sammanställning!$F30&lt;&gt;"",Sammanställning!E30,"")</f>
        <v/>
      </c>
      <c r="F68" s="72" t="str">
        <f>IF(Sammanställning!$F30&lt;&gt;"",Sammanställning!K30,"")</f>
        <v/>
      </c>
      <c r="G68" s="80" t="str">
        <f>IF(Sammanställning!$F30&lt;&gt;"",Sammanställning!G30,"")</f>
        <v/>
      </c>
      <c r="H68" s="97" t="str">
        <f>IF(Sammanställning!$F30&lt;&gt;"",Sammanställning!H30,"")</f>
        <v/>
      </c>
      <c r="I68" s="99" t="str">
        <f>IF(Sammanställning!$F30&lt;&gt;"",Sammanställning!I30,"")</f>
        <v/>
      </c>
      <c r="J68" s="101">
        <f t="shared" si="0"/>
        <v>0</v>
      </c>
      <c r="K68" s="103">
        <f t="shared" si="1"/>
        <v>0</v>
      </c>
      <c r="L68" s="81" cm="1">
        <f t="array" ref="L68">IFERROR(_xlfn.IFS(I68="/påbörjad h",H68*K68,I68="/tillfälle",H68,I68="/pers/påbörjad h",E68*H68*K68,I68="/pers",E68*H68,I68="/instruktör",E68*H68,I68="/instruktör/påbörjad h",E68*H68*K68,I68="/st",E68*H68,I68="/bord",E68*H68,I68="",0),0)</f>
        <v>0</v>
      </c>
      <c r="N68" s="65"/>
    </row>
    <row r="69" spans="1:14" ht="19.649999999999999" customHeight="1" x14ac:dyDescent="0.25">
      <c r="A69" s="75" t="str">
        <f>IF(Sammanställning!$F31&lt;&gt;"",Sammanställning!A31,"")</f>
        <v/>
      </c>
      <c r="B69" s="76" t="str">
        <f>IF(Sammanställning!$F31&lt;&gt;"",Sammanställning!B31,"")</f>
        <v/>
      </c>
      <c r="C69" s="77" t="str">
        <f>IF(Sammanställning!$F31&lt;&gt;"",Sammanställning!C31,"")</f>
        <v/>
      </c>
      <c r="D69" s="78" t="str">
        <f>IF(Sammanställning!$F31&lt;&gt;"",Sammanställning!D31,"")</f>
        <v/>
      </c>
      <c r="E69" s="79" t="str">
        <f>IF(Sammanställning!$F31&lt;&gt;"",Sammanställning!E31,"")</f>
        <v/>
      </c>
      <c r="F69" s="72" t="str">
        <f>IF(Sammanställning!$F31&lt;&gt;"",Sammanställning!K31,"")</f>
        <v/>
      </c>
      <c r="G69" s="80" t="str">
        <f>IF(Sammanställning!$F31&lt;&gt;"",Sammanställning!G31,"")</f>
        <v/>
      </c>
      <c r="H69" s="97" t="str">
        <f>IF(Sammanställning!$F31&lt;&gt;"",Sammanställning!H31,"")</f>
        <v/>
      </c>
      <c r="I69" s="99" t="str">
        <f>IF(Sammanställning!$F31&lt;&gt;"",Sammanställning!I31,"")</f>
        <v/>
      </c>
      <c r="J69" s="101">
        <f t="shared" si="0"/>
        <v>0</v>
      </c>
      <c r="K69" s="103">
        <f t="shared" si="1"/>
        <v>0</v>
      </c>
      <c r="L69" s="81" cm="1">
        <f t="array" ref="L69">IFERROR(_xlfn.IFS(I69="/påbörjad h",H69*K69,I69="/tillfälle",H69,I69="/pers/påbörjad h",E69*H69*K69,I69="/pers",E69*H69,I69="/instruktör",E69*H69,I69="/instruktör/påbörjad h",E69*H69*K69,I69="/st",E69*H69,I69="/bord",E69*H69,I69="",0),0)</f>
        <v>0</v>
      </c>
      <c r="N69" s="65"/>
    </row>
    <row r="70" spans="1:14" ht="19.649999999999999" customHeight="1" x14ac:dyDescent="0.25">
      <c r="A70" s="75" t="str">
        <f>IF(Sammanställning!$F32&lt;&gt;"",Sammanställning!A32,"")</f>
        <v/>
      </c>
      <c r="B70" s="76" t="str">
        <f>IF(Sammanställning!$F32&lt;&gt;"",Sammanställning!B32,"")</f>
        <v/>
      </c>
      <c r="C70" s="77" t="str">
        <f>IF(Sammanställning!$F32&lt;&gt;"",Sammanställning!C32,"")</f>
        <v/>
      </c>
      <c r="D70" s="78" t="str">
        <f>IF(Sammanställning!$F32&lt;&gt;"",Sammanställning!D32,"")</f>
        <v/>
      </c>
      <c r="E70" s="79" t="str">
        <f>IF(Sammanställning!$F32&lt;&gt;"",Sammanställning!E32,"")</f>
        <v/>
      </c>
      <c r="F70" s="72" t="str">
        <f>IF(Sammanställning!$F32&lt;&gt;"",Sammanställning!K32,"")</f>
        <v/>
      </c>
      <c r="G70" s="80" t="str">
        <f>IF(Sammanställning!$F32&lt;&gt;"",Sammanställning!G32,"")</f>
        <v/>
      </c>
      <c r="H70" s="97" t="str">
        <f>IF(Sammanställning!$F32&lt;&gt;"",Sammanställning!H32,"")</f>
        <v/>
      </c>
      <c r="I70" s="99" t="str">
        <f>IF(Sammanställning!$F32&lt;&gt;"",Sammanställning!I32,"")</f>
        <v/>
      </c>
      <c r="J70" s="101">
        <f t="shared" si="0"/>
        <v>0</v>
      </c>
      <c r="K70" s="103">
        <f t="shared" si="1"/>
        <v>0</v>
      </c>
      <c r="L70" s="81" cm="1">
        <f t="array" ref="L70">IFERROR(_xlfn.IFS(I70="/påbörjad h",H70*K70,I70="/tillfälle",H70,I70="/pers/påbörjad h",E70*H70*K70,I70="/pers",E70*H70,I70="/instruktör",E70*H70,I70="/instruktör/påbörjad h",E70*H70*K70,I70="/st",E70*H70,I70="/bord",E70*H70,I70="",0),0)</f>
        <v>0</v>
      </c>
      <c r="N70" s="65"/>
    </row>
    <row r="71" spans="1:14" ht="19.649999999999999" hidden="1" customHeight="1" x14ac:dyDescent="0.25">
      <c r="A71" s="75" t="str">
        <f>IF(Sammanställning!$F33&lt;&gt;"",Sammanställning!A33,"")</f>
        <v/>
      </c>
      <c r="B71" s="76" t="str">
        <f>IF(Sammanställning!$F33&lt;&gt;"",Sammanställning!B33,"")</f>
        <v/>
      </c>
      <c r="C71" s="77" t="str">
        <f>IF(Sammanställning!$F33&lt;&gt;"",Sammanställning!C33,"")</f>
        <v/>
      </c>
      <c r="D71" s="78" t="str">
        <f>IF(Sammanställning!$F33&lt;&gt;"",Sammanställning!D33,"")</f>
        <v/>
      </c>
      <c r="E71" s="79" t="str">
        <f>IF(Sammanställning!$F33&lt;&gt;"",Sammanställning!E33,"")</f>
        <v/>
      </c>
      <c r="F71" s="72" t="str">
        <f>IF(Sammanställning!$F33&lt;&gt;"",Sammanställning!K33,"")</f>
        <v/>
      </c>
      <c r="G71" s="80" t="str">
        <f>IF(Sammanställning!$F33&lt;&gt;"",Sammanställning!G33,"")</f>
        <v/>
      </c>
      <c r="H71" s="97" t="str">
        <f>IF(Sammanställning!$F33&lt;&gt;"",Sammanställning!H33,"")</f>
        <v/>
      </c>
      <c r="I71" s="99" t="str">
        <f>IF(Sammanställning!$F33&lt;&gt;"",Sammanställning!I33,"")</f>
        <v/>
      </c>
      <c r="J71" s="101">
        <f t="shared" si="0"/>
        <v>0</v>
      </c>
      <c r="K71" s="103">
        <f t="shared" ref="K71:K102" si="2">IFERROR(ROUNDUP((D71-C71)*24,0),0)</f>
        <v>0</v>
      </c>
      <c r="L71" s="81" cm="1">
        <f t="array" ref="L71">IFERROR(_xlfn.IFS(I71="/påbörjad h",H71*K71,I71="/tillfälle",H71,I71="/pers/påbörjad h",E71*H71*K71,I71="/pers",E71*H71,I71="/instruktör",E71*H71,I71="/instruktör/påbörjad h",E71*H71*K71,I71="/st",E71*H71,I71="/bord",E71*H71,I71="",0),0)</f>
        <v>0</v>
      </c>
    </row>
    <row r="72" spans="1:14" ht="19.649999999999999" hidden="1" customHeight="1" x14ac:dyDescent="0.25">
      <c r="A72" s="75" t="str">
        <f>IF(Sammanställning!$F34&lt;&gt;"",Sammanställning!A34,"")</f>
        <v/>
      </c>
      <c r="B72" s="76" t="str">
        <f>IF(Sammanställning!$F34&lt;&gt;"",Sammanställning!B34,"")</f>
        <v/>
      </c>
      <c r="C72" s="77" t="str">
        <f>IF(Sammanställning!$F34&lt;&gt;"",Sammanställning!C34,"")</f>
        <v/>
      </c>
      <c r="D72" s="78" t="str">
        <f>IF(Sammanställning!$F34&lt;&gt;"",Sammanställning!D34,"")</f>
        <v/>
      </c>
      <c r="E72" s="79" t="str">
        <f>IF(Sammanställning!$F34&lt;&gt;"",Sammanställning!E34,"")</f>
        <v/>
      </c>
      <c r="F72" s="72" t="str">
        <f>IF(Sammanställning!$F34&lt;&gt;"",Sammanställning!K34,"")</f>
        <v/>
      </c>
      <c r="G72" s="80" t="str">
        <f>IF(Sammanställning!$F34&lt;&gt;"",Sammanställning!G34,"")</f>
        <v/>
      </c>
      <c r="H72" s="97" t="str">
        <f>IF(Sammanställning!$F34&lt;&gt;"",Sammanställning!H34,"")</f>
        <v/>
      </c>
      <c r="I72" s="99" t="str">
        <f>IF(Sammanställning!$F34&lt;&gt;"",Sammanställning!I34,"")</f>
        <v/>
      </c>
      <c r="J72" s="101">
        <f t="shared" ref="J72:J103" si="3">IFERROR(IF(OR(F72=TRUE),0,L72),0)</f>
        <v>0</v>
      </c>
      <c r="K72" s="103">
        <f t="shared" si="2"/>
        <v>0</v>
      </c>
      <c r="L72" s="81" cm="1">
        <f t="array" ref="L72">IFERROR(_xlfn.IFS(I72="/påbörjad h",H72*K72,I72="/tillfälle",H72,I72="/pers/påbörjad h",E72*H72*K72,I72="/pers",E72*H72,I72="/instruktör",E72*H72,I72="/instruktör/påbörjad h",E72*H72*K72,I72="/st",E72*H72,I72="/bord",E72*H72,I72="",0),0)</f>
        <v>0</v>
      </c>
    </row>
    <row r="73" spans="1:14" ht="19.649999999999999" hidden="1" customHeight="1" x14ac:dyDescent="0.25">
      <c r="A73" s="75" t="str">
        <f>IF(Sammanställning!$F35&lt;&gt;"",Sammanställning!A35,"")</f>
        <v/>
      </c>
      <c r="B73" s="76" t="str">
        <f>IF(Sammanställning!$F35&lt;&gt;"",Sammanställning!B35,"")</f>
        <v/>
      </c>
      <c r="C73" s="77" t="str">
        <f>IF(Sammanställning!$F35&lt;&gt;"",Sammanställning!C35,"")</f>
        <v/>
      </c>
      <c r="D73" s="78" t="str">
        <f>IF(Sammanställning!$F35&lt;&gt;"",Sammanställning!D35,"")</f>
        <v/>
      </c>
      <c r="E73" s="79" t="str">
        <f>IF(Sammanställning!$F35&lt;&gt;"",Sammanställning!E35,"")</f>
        <v/>
      </c>
      <c r="F73" s="72" t="str">
        <f>IF(Sammanställning!$F35&lt;&gt;"",Sammanställning!K35,"")</f>
        <v/>
      </c>
      <c r="G73" s="80" t="str">
        <f>IF(Sammanställning!$F35&lt;&gt;"",Sammanställning!G35,"")</f>
        <v/>
      </c>
      <c r="H73" s="97" t="str">
        <f>IF(Sammanställning!$F35&lt;&gt;"",Sammanställning!H35,"")</f>
        <v/>
      </c>
      <c r="I73" s="99" t="str">
        <f>IF(Sammanställning!$F35&lt;&gt;"",Sammanställning!I35,"")</f>
        <v/>
      </c>
      <c r="J73" s="101">
        <f t="shared" si="3"/>
        <v>0</v>
      </c>
      <c r="K73" s="103">
        <f t="shared" si="2"/>
        <v>0</v>
      </c>
      <c r="L73" s="81" cm="1">
        <f t="array" ref="L73">IFERROR(_xlfn.IFS(I73="/påbörjad h",H73*K73,I73="/tillfälle",H73,I73="/pers/påbörjad h",E73*H73*K73,I73="/pers",E73*H73,I73="/instruktör",E73*H73,I73="/instruktör/påbörjad h",E73*H73*K73,I73="/st",E73*H73,I73="/bord",E73*H73,I73="",0),0)</f>
        <v>0</v>
      </c>
    </row>
    <row r="74" spans="1:14" ht="19.649999999999999" hidden="1" customHeight="1" x14ac:dyDescent="0.25">
      <c r="A74" s="75" t="str">
        <f>IF(Sammanställning!$F36&lt;&gt;"",Sammanställning!A36,"")</f>
        <v/>
      </c>
      <c r="B74" s="76" t="str">
        <f>IF(Sammanställning!$F36&lt;&gt;"",Sammanställning!B36,"")</f>
        <v/>
      </c>
      <c r="C74" s="77" t="str">
        <f>IF(Sammanställning!$F36&lt;&gt;"",Sammanställning!C36,"")</f>
        <v/>
      </c>
      <c r="D74" s="78" t="str">
        <f>IF(Sammanställning!$F36&lt;&gt;"",Sammanställning!D36,"")</f>
        <v/>
      </c>
      <c r="E74" s="79" t="str">
        <f>IF(Sammanställning!$F36&lt;&gt;"",Sammanställning!E36,"")</f>
        <v/>
      </c>
      <c r="F74" s="72" t="str">
        <f>IF(Sammanställning!$F36&lt;&gt;"",Sammanställning!K36,"")</f>
        <v/>
      </c>
      <c r="G74" s="80" t="str">
        <f>IF(Sammanställning!$F36&lt;&gt;"",Sammanställning!G36,"")</f>
        <v/>
      </c>
      <c r="H74" s="97" t="str">
        <f>IF(Sammanställning!$F36&lt;&gt;"",Sammanställning!H36,"")</f>
        <v/>
      </c>
      <c r="I74" s="99" t="str">
        <f>IF(Sammanställning!$F36&lt;&gt;"",Sammanställning!I36,"")</f>
        <v/>
      </c>
      <c r="J74" s="101">
        <f t="shared" si="3"/>
        <v>0</v>
      </c>
      <c r="K74" s="103">
        <f t="shared" si="2"/>
        <v>0</v>
      </c>
      <c r="L74" s="81" cm="1">
        <f t="array" ref="L74">IFERROR(_xlfn.IFS(I74="/påbörjad h",H74*K74,I74="/tillfälle",H74,I74="/pers/påbörjad h",E74*H74*K74,I74="/pers",E74*H74,I74="/instruktör",E74*H74,I74="/instruktör/påbörjad h",E74*H74*K74,I74="/st",E74*H74,I74="/bord",E74*H74,I74="",0),0)</f>
        <v>0</v>
      </c>
    </row>
    <row r="75" spans="1:14" ht="19.649999999999999" hidden="1" customHeight="1" x14ac:dyDescent="0.25">
      <c r="A75" s="75" t="str">
        <f>IF(Sammanställning!$F37&lt;&gt;"",Sammanställning!A37,"")</f>
        <v/>
      </c>
      <c r="B75" s="76" t="str">
        <f>IF(Sammanställning!$F37&lt;&gt;"",Sammanställning!B37,"")</f>
        <v/>
      </c>
      <c r="C75" s="77" t="str">
        <f>IF(Sammanställning!$F37&lt;&gt;"",Sammanställning!C37,"")</f>
        <v/>
      </c>
      <c r="D75" s="78" t="str">
        <f>IF(Sammanställning!$F37&lt;&gt;"",Sammanställning!D37,"")</f>
        <v/>
      </c>
      <c r="E75" s="79" t="str">
        <f>IF(Sammanställning!$F37&lt;&gt;"",Sammanställning!E37,"")</f>
        <v/>
      </c>
      <c r="F75" s="72" t="str">
        <f>IF(Sammanställning!$F37&lt;&gt;"",Sammanställning!K37,"")</f>
        <v/>
      </c>
      <c r="G75" s="80" t="str">
        <f>IF(Sammanställning!$F37&lt;&gt;"",Sammanställning!G37,"")</f>
        <v/>
      </c>
      <c r="H75" s="97" t="str">
        <f>IF(Sammanställning!$F37&lt;&gt;"",Sammanställning!H37,"")</f>
        <v/>
      </c>
      <c r="I75" s="99" t="str">
        <f>IF(Sammanställning!$F37&lt;&gt;"",Sammanställning!I37,"")</f>
        <v/>
      </c>
      <c r="J75" s="101">
        <f t="shared" si="3"/>
        <v>0</v>
      </c>
      <c r="K75" s="103">
        <f t="shared" si="2"/>
        <v>0</v>
      </c>
      <c r="L75" s="81" cm="1">
        <f t="array" ref="L75">IFERROR(_xlfn.IFS(I75="/påbörjad h",H75*K75,I75="/tillfälle",H75,I75="/pers/påbörjad h",E75*H75*K75,I75="/pers",E75*H75,I75="/instruktör",E75*H75,I75="/instruktör/påbörjad h",E75*H75*K75,I75="/st",E75*H75,I75="/bord",E75*H75,I75="",0),0)</f>
        <v>0</v>
      </c>
    </row>
    <row r="76" spans="1:14" ht="19.649999999999999" hidden="1" customHeight="1" x14ac:dyDescent="0.25">
      <c r="A76" s="75" t="str">
        <f>IF(Sammanställning!$F38&lt;&gt;"",Sammanställning!A38,"")</f>
        <v/>
      </c>
      <c r="B76" s="76" t="str">
        <f>IF(Sammanställning!$F38&lt;&gt;"",Sammanställning!B38,"")</f>
        <v/>
      </c>
      <c r="C76" s="77" t="str">
        <f>IF(Sammanställning!$F38&lt;&gt;"",Sammanställning!C38,"")</f>
        <v/>
      </c>
      <c r="D76" s="78" t="str">
        <f>IF(Sammanställning!$F38&lt;&gt;"",Sammanställning!D38,"")</f>
        <v/>
      </c>
      <c r="E76" s="79" t="str">
        <f>IF(Sammanställning!$F38&lt;&gt;"",Sammanställning!E38,"")</f>
        <v/>
      </c>
      <c r="F76" s="72" t="str">
        <f>IF(Sammanställning!$F38&lt;&gt;"",Sammanställning!K38,"")</f>
        <v/>
      </c>
      <c r="G76" s="80" t="str">
        <f>IF(Sammanställning!$F38&lt;&gt;"",Sammanställning!G38,"")</f>
        <v/>
      </c>
      <c r="H76" s="97" t="str">
        <f>IF(Sammanställning!$F38&lt;&gt;"",Sammanställning!H38,"")</f>
        <v/>
      </c>
      <c r="I76" s="99" t="str">
        <f>IF(Sammanställning!$F38&lt;&gt;"",Sammanställning!I38,"")</f>
        <v/>
      </c>
      <c r="J76" s="101">
        <f t="shared" si="3"/>
        <v>0</v>
      </c>
      <c r="K76" s="103">
        <f t="shared" si="2"/>
        <v>0</v>
      </c>
      <c r="L76" s="81" cm="1">
        <f t="array" ref="L76">IFERROR(_xlfn.IFS(I76="/påbörjad h",H76*K76,I76="/tillfälle",H76,I76="/pers/påbörjad h",E76*H76*K76,I76="/pers",E76*H76,I76="/instruktör",E76*H76,I76="/instruktör/påbörjad h",E76*H76*K76,I76="/st",E76*H76,I76="/bord",E76*H76,I76="",0),0)</f>
        <v>0</v>
      </c>
    </row>
    <row r="77" spans="1:14" ht="19.649999999999999" hidden="1" customHeight="1" x14ac:dyDescent="0.25">
      <c r="A77" s="75" t="str">
        <f>IF(Sammanställning!$F39&lt;&gt;"",Sammanställning!A39,"")</f>
        <v/>
      </c>
      <c r="B77" s="76" t="str">
        <f>IF(Sammanställning!$F39&lt;&gt;"",Sammanställning!B39,"")</f>
        <v/>
      </c>
      <c r="C77" s="77" t="str">
        <f>IF(Sammanställning!$F39&lt;&gt;"",Sammanställning!C39,"")</f>
        <v/>
      </c>
      <c r="D77" s="78" t="str">
        <f>IF(Sammanställning!$F39&lt;&gt;"",Sammanställning!D39,"")</f>
        <v/>
      </c>
      <c r="E77" s="79" t="str">
        <f>IF(Sammanställning!$F39&lt;&gt;"",Sammanställning!E39,"")</f>
        <v/>
      </c>
      <c r="F77" s="72" t="str">
        <f>IF(Sammanställning!$F39&lt;&gt;"",Sammanställning!K39,"")</f>
        <v/>
      </c>
      <c r="G77" s="80" t="str">
        <f>IF(Sammanställning!$F39&lt;&gt;"",Sammanställning!G39,"")</f>
        <v/>
      </c>
      <c r="H77" s="97" t="str">
        <f>IF(Sammanställning!$F39&lt;&gt;"",Sammanställning!H39,"")</f>
        <v/>
      </c>
      <c r="I77" s="99" t="str">
        <f>IF(Sammanställning!$F39&lt;&gt;"",Sammanställning!I39,"")</f>
        <v/>
      </c>
      <c r="J77" s="101">
        <f t="shared" si="3"/>
        <v>0</v>
      </c>
      <c r="K77" s="103">
        <f t="shared" si="2"/>
        <v>0</v>
      </c>
      <c r="L77" s="81" cm="1">
        <f t="array" ref="L77">IFERROR(_xlfn.IFS(I77="/påbörjad h",H77*K77,I77="/tillfälle",H77,I77="/pers/påbörjad h",E77*H77*K77,I77="/pers",E77*H77,I77="/instruktör",E77*H77,I77="/instruktör/påbörjad h",E77*H77*K77,I77="/st",E77*H77,I77="/bord",E77*H77,I77="",0),0)</f>
        <v>0</v>
      </c>
    </row>
    <row r="78" spans="1:14" ht="19.649999999999999" hidden="1" customHeight="1" x14ac:dyDescent="0.25">
      <c r="A78" s="75" t="str">
        <f>IF(Sammanställning!$F40&lt;&gt;"",Sammanställning!A40,"")</f>
        <v/>
      </c>
      <c r="B78" s="76" t="str">
        <f>IF(Sammanställning!$F40&lt;&gt;"",Sammanställning!B40,"")</f>
        <v/>
      </c>
      <c r="C78" s="77" t="str">
        <f>IF(Sammanställning!$F40&lt;&gt;"",Sammanställning!C40,"")</f>
        <v/>
      </c>
      <c r="D78" s="78" t="str">
        <f>IF(Sammanställning!$F40&lt;&gt;"",Sammanställning!D40,"")</f>
        <v/>
      </c>
      <c r="E78" s="79" t="str">
        <f>IF(Sammanställning!$F40&lt;&gt;"",Sammanställning!E40,"")</f>
        <v/>
      </c>
      <c r="F78" s="72" t="str">
        <f>IF(Sammanställning!$F40&lt;&gt;"",Sammanställning!K40,"")</f>
        <v/>
      </c>
      <c r="G78" s="80" t="str">
        <f>IF(Sammanställning!$F40&lt;&gt;"",Sammanställning!G40,"")</f>
        <v/>
      </c>
      <c r="H78" s="97" t="str">
        <f>IF(Sammanställning!$F40&lt;&gt;"",Sammanställning!H40,"")</f>
        <v/>
      </c>
      <c r="I78" s="99" t="str">
        <f>IF(Sammanställning!$F40&lt;&gt;"",Sammanställning!I40,"")</f>
        <v/>
      </c>
      <c r="J78" s="101">
        <f t="shared" si="3"/>
        <v>0</v>
      </c>
      <c r="K78" s="103">
        <f t="shared" si="2"/>
        <v>0</v>
      </c>
      <c r="L78" s="81" cm="1">
        <f t="array" ref="L78">IFERROR(_xlfn.IFS(I78="/påbörjad h",H78*K78,I78="/tillfälle",H78,I78="/pers/påbörjad h",E78*H78*K78,I78="/pers",E78*H78,I78="/instruktör",E78*H78,I78="/instruktör/påbörjad h",E78*H78*K78,I78="/st",E78*H78,I78="/bord",E78*H78,I78="",0),0)</f>
        <v>0</v>
      </c>
    </row>
    <row r="79" spans="1:14" ht="19.649999999999999" hidden="1" customHeight="1" x14ac:dyDescent="0.25">
      <c r="A79" s="75" t="str">
        <f>IF(Sammanställning!$F41&lt;&gt;"",Sammanställning!A41,"")</f>
        <v/>
      </c>
      <c r="B79" s="76" t="str">
        <f>IF(Sammanställning!$F41&lt;&gt;"",Sammanställning!B41,"")</f>
        <v/>
      </c>
      <c r="C79" s="77" t="str">
        <f>IF(Sammanställning!$F41&lt;&gt;"",Sammanställning!C41,"")</f>
        <v/>
      </c>
      <c r="D79" s="78" t="str">
        <f>IF(Sammanställning!$F41&lt;&gt;"",Sammanställning!D41,"")</f>
        <v/>
      </c>
      <c r="E79" s="79" t="str">
        <f>IF(Sammanställning!$F41&lt;&gt;"",Sammanställning!E41,"")</f>
        <v/>
      </c>
      <c r="F79" s="72" t="str">
        <f>IF(Sammanställning!$F41&lt;&gt;"",Sammanställning!K41,"")</f>
        <v/>
      </c>
      <c r="G79" s="80" t="str">
        <f>IF(Sammanställning!$F41&lt;&gt;"",Sammanställning!G41,"")</f>
        <v/>
      </c>
      <c r="H79" s="97" t="str">
        <f>IF(Sammanställning!$F41&lt;&gt;"",Sammanställning!H41,"")</f>
        <v/>
      </c>
      <c r="I79" s="99" t="str">
        <f>IF(Sammanställning!$F41&lt;&gt;"",Sammanställning!I41,"")</f>
        <v/>
      </c>
      <c r="J79" s="101">
        <f t="shared" si="3"/>
        <v>0</v>
      </c>
      <c r="K79" s="103">
        <f t="shared" si="2"/>
        <v>0</v>
      </c>
      <c r="L79" s="81" cm="1">
        <f t="array" ref="L79">IFERROR(_xlfn.IFS(I79="/påbörjad h",H79*K79,I79="/tillfälle",H79,I79="/pers/påbörjad h",E79*H79*K79,I79="/pers",E79*H79,I79="/instruktör",E79*H79,I79="/instruktör/påbörjad h",E79*H79*K79,I79="/st",E79*H79,I79="/bord",E79*H79,I79="",0),0)</f>
        <v>0</v>
      </c>
    </row>
    <row r="80" spans="1:14" ht="19.649999999999999" hidden="1" customHeight="1" x14ac:dyDescent="0.25">
      <c r="A80" s="75" t="str">
        <f>IF(Sammanställning!$F42&lt;&gt;"",Sammanställning!A42,"")</f>
        <v/>
      </c>
      <c r="B80" s="76" t="str">
        <f>IF(Sammanställning!$F42&lt;&gt;"",Sammanställning!B42,"")</f>
        <v/>
      </c>
      <c r="C80" s="77" t="str">
        <f>IF(Sammanställning!$F42&lt;&gt;"",Sammanställning!C42,"")</f>
        <v/>
      </c>
      <c r="D80" s="78" t="str">
        <f>IF(Sammanställning!$F42&lt;&gt;"",Sammanställning!D42,"")</f>
        <v/>
      </c>
      <c r="E80" s="79" t="str">
        <f>IF(Sammanställning!$F42&lt;&gt;"",Sammanställning!E42,"")</f>
        <v/>
      </c>
      <c r="F80" s="72" t="str">
        <f>IF(Sammanställning!$F42&lt;&gt;"",Sammanställning!K42,"")</f>
        <v/>
      </c>
      <c r="G80" s="80" t="str">
        <f>IF(Sammanställning!$F42&lt;&gt;"",Sammanställning!G42,"")</f>
        <v/>
      </c>
      <c r="H80" s="97" t="str">
        <f>IF(Sammanställning!$F42&lt;&gt;"",Sammanställning!H42,"")</f>
        <v/>
      </c>
      <c r="I80" s="99" t="str">
        <f>IF(Sammanställning!$F42&lt;&gt;"",Sammanställning!I42,"")</f>
        <v/>
      </c>
      <c r="J80" s="101">
        <f t="shared" si="3"/>
        <v>0</v>
      </c>
      <c r="K80" s="103">
        <f t="shared" si="2"/>
        <v>0</v>
      </c>
      <c r="L80" s="81" cm="1">
        <f t="array" ref="L80">IFERROR(_xlfn.IFS(I80="/påbörjad h",H80*K80,I80="/tillfälle",H80,I80="/pers/påbörjad h",E80*H80*K80,I80="/pers",E80*H80,I80="/instruktör",E80*H80,I80="/instruktör/påbörjad h",E80*H80*K80,I80="/st",E80*H80,I80="/bord",E80*H80,I80="",0),0)</f>
        <v>0</v>
      </c>
    </row>
    <row r="81" spans="1:12" ht="19.649999999999999" hidden="1" customHeight="1" x14ac:dyDescent="0.25">
      <c r="A81" s="75" t="str">
        <f>IF(Sammanställning!$F43&lt;&gt;"",Sammanställning!A43,"")</f>
        <v/>
      </c>
      <c r="B81" s="76" t="str">
        <f>IF(Sammanställning!$F43&lt;&gt;"",Sammanställning!B43,"")</f>
        <v/>
      </c>
      <c r="C81" s="77" t="str">
        <f>IF(Sammanställning!$F43&lt;&gt;"",Sammanställning!C43,"")</f>
        <v/>
      </c>
      <c r="D81" s="78" t="str">
        <f>IF(Sammanställning!$F43&lt;&gt;"",Sammanställning!D43,"")</f>
        <v/>
      </c>
      <c r="E81" s="79" t="str">
        <f>IF(Sammanställning!$F43&lt;&gt;"",Sammanställning!E43,"")</f>
        <v/>
      </c>
      <c r="F81" s="72" t="str">
        <f>IF(Sammanställning!$F43&lt;&gt;"",Sammanställning!K43,"")</f>
        <v/>
      </c>
      <c r="G81" s="80" t="str">
        <f>IF(Sammanställning!$F43&lt;&gt;"",Sammanställning!G43,"")</f>
        <v/>
      </c>
      <c r="H81" s="97" t="str">
        <f>IF(Sammanställning!$F43&lt;&gt;"",Sammanställning!H43,"")</f>
        <v/>
      </c>
      <c r="I81" s="99" t="str">
        <f>IF(Sammanställning!$F43&lt;&gt;"",Sammanställning!I43,"")</f>
        <v/>
      </c>
      <c r="J81" s="101">
        <f t="shared" si="3"/>
        <v>0</v>
      </c>
      <c r="K81" s="103">
        <f t="shared" si="2"/>
        <v>0</v>
      </c>
      <c r="L81" s="81" cm="1">
        <f t="array" ref="L81">IFERROR(_xlfn.IFS(I81="/påbörjad h",H81*K81,I81="/tillfälle",H81,I81="/pers/påbörjad h",E81*H81*K81,I81="/pers",E81*H81,I81="/instruktör",E81*H81,I81="/instruktör/påbörjad h",E81*H81*K81,I81="/st",E81*H81,I81="/bord",E81*H81,I81="",0),0)</f>
        <v>0</v>
      </c>
    </row>
    <row r="82" spans="1:12" ht="19.649999999999999" hidden="1" customHeight="1" x14ac:dyDescent="0.25">
      <c r="A82" s="75" t="str">
        <f>IF(Sammanställning!$F44&lt;&gt;"",Sammanställning!A44,"")</f>
        <v/>
      </c>
      <c r="B82" s="76" t="str">
        <f>IF(Sammanställning!$F44&lt;&gt;"",Sammanställning!B44,"")</f>
        <v/>
      </c>
      <c r="C82" s="77" t="str">
        <f>IF(Sammanställning!$F44&lt;&gt;"",Sammanställning!C44,"")</f>
        <v/>
      </c>
      <c r="D82" s="78" t="str">
        <f>IF(Sammanställning!$F44&lt;&gt;"",Sammanställning!D44,"")</f>
        <v/>
      </c>
      <c r="E82" s="79" t="str">
        <f>IF(Sammanställning!$F44&lt;&gt;"",Sammanställning!E44,"")</f>
        <v/>
      </c>
      <c r="F82" s="72" t="str">
        <f>IF(Sammanställning!$F44&lt;&gt;"",Sammanställning!K44,"")</f>
        <v/>
      </c>
      <c r="G82" s="80" t="str">
        <f>IF(Sammanställning!$F44&lt;&gt;"",Sammanställning!G44,"")</f>
        <v/>
      </c>
      <c r="H82" s="97" t="str">
        <f>IF(Sammanställning!$F44&lt;&gt;"",Sammanställning!H44,"")</f>
        <v/>
      </c>
      <c r="I82" s="99" t="str">
        <f>IF(Sammanställning!$F44&lt;&gt;"",Sammanställning!I44,"")</f>
        <v/>
      </c>
      <c r="J82" s="101">
        <f t="shared" si="3"/>
        <v>0</v>
      </c>
      <c r="K82" s="103">
        <f t="shared" si="2"/>
        <v>0</v>
      </c>
      <c r="L82" s="81" cm="1">
        <f t="array" ref="L82">IFERROR(_xlfn.IFS(I82="/påbörjad h",H82*K82,I82="/tillfälle",H82,I82="/pers/påbörjad h",E82*H82*K82,I82="/pers",E82*H82,I82="/instruktör",E82*H82,I82="/instruktör/påbörjad h",E82*H82*K82,I82="/st",E82*H82,I82="/bord",E82*H82,I82="",0),0)</f>
        <v>0</v>
      </c>
    </row>
    <row r="83" spans="1:12" ht="19.649999999999999" hidden="1" customHeight="1" x14ac:dyDescent="0.25">
      <c r="A83" s="75" t="str">
        <f>IF(Sammanställning!$F45&lt;&gt;"",Sammanställning!A45,"")</f>
        <v/>
      </c>
      <c r="B83" s="76" t="str">
        <f>IF(Sammanställning!$F45&lt;&gt;"",Sammanställning!B45,"")</f>
        <v/>
      </c>
      <c r="C83" s="77" t="str">
        <f>IF(Sammanställning!$F45&lt;&gt;"",Sammanställning!C45,"")</f>
        <v/>
      </c>
      <c r="D83" s="78" t="str">
        <f>IF(Sammanställning!$F45&lt;&gt;"",Sammanställning!D45,"")</f>
        <v/>
      </c>
      <c r="E83" s="79" t="str">
        <f>IF(Sammanställning!$F45&lt;&gt;"",Sammanställning!E45,"")</f>
        <v/>
      </c>
      <c r="F83" s="72" t="str">
        <f>IF(Sammanställning!$F45&lt;&gt;"",Sammanställning!K45,"")</f>
        <v/>
      </c>
      <c r="G83" s="80" t="str">
        <f>IF(Sammanställning!$F45&lt;&gt;"",Sammanställning!G45,"")</f>
        <v/>
      </c>
      <c r="H83" s="97" t="str">
        <f>IF(Sammanställning!$F45&lt;&gt;"",Sammanställning!H45,"")</f>
        <v/>
      </c>
      <c r="I83" s="99" t="str">
        <f>IF(Sammanställning!$F45&lt;&gt;"",Sammanställning!I45,"")</f>
        <v/>
      </c>
      <c r="J83" s="101">
        <f t="shared" si="3"/>
        <v>0</v>
      </c>
      <c r="K83" s="103">
        <f t="shared" si="2"/>
        <v>0</v>
      </c>
      <c r="L83" s="81" cm="1">
        <f t="array" ref="L83">IFERROR(_xlfn.IFS(I83="/påbörjad h",H83*K83,I83="/tillfälle",H83,I83="/pers/påbörjad h",E83*H83*K83,I83="/pers",E83*H83,I83="/instruktör",E83*H83,I83="/instruktör/påbörjad h",E83*H83*K83,I83="/st",E83*H83,I83="/bord",E83*H83,I83="",0),0)</f>
        <v>0</v>
      </c>
    </row>
    <row r="84" spans="1:12" ht="19.649999999999999" hidden="1" customHeight="1" x14ac:dyDescent="0.25">
      <c r="A84" s="75" t="str">
        <f>IF(Sammanställning!$F46&lt;&gt;"",Sammanställning!A46,"")</f>
        <v/>
      </c>
      <c r="B84" s="76" t="str">
        <f>IF(Sammanställning!$F46&lt;&gt;"",Sammanställning!B46,"")</f>
        <v/>
      </c>
      <c r="C84" s="77" t="str">
        <f>IF(Sammanställning!$F46&lt;&gt;"",Sammanställning!C46,"")</f>
        <v/>
      </c>
      <c r="D84" s="78" t="str">
        <f>IF(Sammanställning!$F46&lt;&gt;"",Sammanställning!D46,"")</f>
        <v/>
      </c>
      <c r="E84" s="79" t="str">
        <f>IF(Sammanställning!$F46&lt;&gt;"",Sammanställning!E46,"")</f>
        <v/>
      </c>
      <c r="F84" s="72" t="str">
        <f>IF(Sammanställning!$F46&lt;&gt;"",Sammanställning!K46,"")</f>
        <v/>
      </c>
      <c r="G84" s="80" t="str">
        <f>IF(Sammanställning!$F46&lt;&gt;"",Sammanställning!G46,"")</f>
        <v/>
      </c>
      <c r="H84" s="97" t="str">
        <f>IF(Sammanställning!$F46&lt;&gt;"",Sammanställning!H46,"")</f>
        <v/>
      </c>
      <c r="I84" s="99" t="str">
        <f>IF(Sammanställning!$F46&lt;&gt;"",Sammanställning!I46,"")</f>
        <v/>
      </c>
      <c r="J84" s="101">
        <f t="shared" si="3"/>
        <v>0</v>
      </c>
      <c r="K84" s="103">
        <f t="shared" si="2"/>
        <v>0</v>
      </c>
      <c r="L84" s="81" cm="1">
        <f t="array" ref="L84">IFERROR(_xlfn.IFS(I84="/påbörjad h",H84*K84,I84="/tillfälle",H84,I84="/pers/påbörjad h",E84*H84*K84,I84="/pers",E84*H84,I84="/instruktör",E84*H84,I84="/instruktör/påbörjad h",E84*H84*K84,I84="/st",E84*H84,I84="/bord",E84*H84,I84="",0),0)</f>
        <v>0</v>
      </c>
    </row>
    <row r="85" spans="1:12" ht="19.649999999999999" hidden="1" customHeight="1" x14ac:dyDescent="0.25">
      <c r="A85" s="75" t="str">
        <f>IF(Sammanställning!$F47&lt;&gt;"",Sammanställning!A47,"")</f>
        <v/>
      </c>
      <c r="B85" s="76" t="str">
        <f>IF(Sammanställning!$F47&lt;&gt;"",Sammanställning!B47,"")</f>
        <v/>
      </c>
      <c r="C85" s="77" t="str">
        <f>IF(Sammanställning!$F47&lt;&gt;"",Sammanställning!C47,"")</f>
        <v/>
      </c>
      <c r="D85" s="78" t="str">
        <f>IF(Sammanställning!$F47&lt;&gt;"",Sammanställning!D47,"")</f>
        <v/>
      </c>
      <c r="E85" s="79" t="str">
        <f>IF(Sammanställning!$F47&lt;&gt;"",Sammanställning!E47,"")</f>
        <v/>
      </c>
      <c r="F85" s="72" t="str">
        <f>IF(Sammanställning!$F47&lt;&gt;"",Sammanställning!K47,"")</f>
        <v/>
      </c>
      <c r="G85" s="80" t="str">
        <f>IF(Sammanställning!$F47&lt;&gt;"",Sammanställning!G47,"")</f>
        <v/>
      </c>
      <c r="H85" s="97" t="str">
        <f>IF(Sammanställning!$F47&lt;&gt;"",Sammanställning!H47,"")</f>
        <v/>
      </c>
      <c r="I85" s="99" t="str">
        <f>IF(Sammanställning!$F47&lt;&gt;"",Sammanställning!I47,"")</f>
        <v/>
      </c>
      <c r="J85" s="101">
        <f t="shared" si="3"/>
        <v>0</v>
      </c>
      <c r="K85" s="103">
        <f t="shared" si="2"/>
        <v>0</v>
      </c>
      <c r="L85" s="81" cm="1">
        <f t="array" ref="L85">IFERROR(_xlfn.IFS(I85="/påbörjad h",H85*K85,I85="/tillfälle",H85,I85="/pers/påbörjad h",E85*H85*K85,I85="/pers",E85*H85,I85="/instruktör",E85*H85,I85="/instruktör/påbörjad h",E85*H85*K85,I85="/st",E85*H85,I85="/bord",E85*H85,I85="",0),0)</f>
        <v>0</v>
      </c>
    </row>
    <row r="86" spans="1:12" ht="19.649999999999999" hidden="1" customHeight="1" x14ac:dyDescent="0.25">
      <c r="A86" s="75" t="str">
        <f>IF(Sammanställning!$F48&lt;&gt;"",Sammanställning!A48,"")</f>
        <v/>
      </c>
      <c r="B86" s="76" t="str">
        <f>IF(Sammanställning!$F48&lt;&gt;"",Sammanställning!B48,"")</f>
        <v/>
      </c>
      <c r="C86" s="77" t="str">
        <f>IF(Sammanställning!$F48&lt;&gt;"",Sammanställning!C48,"")</f>
        <v/>
      </c>
      <c r="D86" s="78" t="str">
        <f>IF(Sammanställning!$F48&lt;&gt;"",Sammanställning!D48,"")</f>
        <v/>
      </c>
      <c r="E86" s="79" t="str">
        <f>IF(Sammanställning!$F48&lt;&gt;"",Sammanställning!E48,"")</f>
        <v/>
      </c>
      <c r="F86" s="72" t="str">
        <f>IF(Sammanställning!$F48&lt;&gt;"",Sammanställning!K48,"")</f>
        <v/>
      </c>
      <c r="G86" s="80" t="str">
        <f>IF(Sammanställning!$F48&lt;&gt;"",Sammanställning!G48,"")</f>
        <v/>
      </c>
      <c r="H86" s="97" t="str">
        <f>IF(Sammanställning!$F48&lt;&gt;"",Sammanställning!H48,"")</f>
        <v/>
      </c>
      <c r="I86" s="99" t="str">
        <f>IF(Sammanställning!$F48&lt;&gt;"",Sammanställning!I48,"")</f>
        <v/>
      </c>
      <c r="J86" s="101">
        <f t="shared" si="3"/>
        <v>0</v>
      </c>
      <c r="K86" s="103">
        <f t="shared" si="2"/>
        <v>0</v>
      </c>
      <c r="L86" s="81" cm="1">
        <f t="array" ref="L86">IFERROR(_xlfn.IFS(I86="/påbörjad h",H86*K86,I86="/tillfälle",H86,I86="/pers/påbörjad h",E86*H86*K86,I86="/pers",E86*H86,I86="/instruktör",E86*H86,I86="/instruktör/påbörjad h",E86*H86*K86,I86="/st",E86*H86,I86="/bord",E86*H86,I86="",0),0)</f>
        <v>0</v>
      </c>
    </row>
    <row r="87" spans="1:12" ht="19.649999999999999" hidden="1" customHeight="1" x14ac:dyDescent="0.25">
      <c r="A87" s="75" t="str">
        <f>IF(Sammanställning!$F49&lt;&gt;"",Sammanställning!A49,"")</f>
        <v/>
      </c>
      <c r="B87" s="76" t="str">
        <f>IF(Sammanställning!$F49&lt;&gt;"",Sammanställning!B49,"")</f>
        <v/>
      </c>
      <c r="C87" s="77" t="str">
        <f>IF(Sammanställning!$F49&lt;&gt;"",Sammanställning!C49,"")</f>
        <v/>
      </c>
      <c r="D87" s="78" t="str">
        <f>IF(Sammanställning!$F49&lt;&gt;"",Sammanställning!D49,"")</f>
        <v/>
      </c>
      <c r="E87" s="79" t="str">
        <f>IF(Sammanställning!$F49&lt;&gt;"",Sammanställning!E49,"")</f>
        <v/>
      </c>
      <c r="F87" s="72" t="str">
        <f>IF(Sammanställning!$F49&lt;&gt;"",Sammanställning!K49,"")</f>
        <v/>
      </c>
      <c r="G87" s="80" t="str">
        <f>IF(Sammanställning!$F49&lt;&gt;"",Sammanställning!G49,"")</f>
        <v/>
      </c>
      <c r="H87" s="97" t="str">
        <f>IF(Sammanställning!$F49&lt;&gt;"",Sammanställning!H49,"")</f>
        <v/>
      </c>
      <c r="I87" s="99" t="str">
        <f>IF(Sammanställning!$F49&lt;&gt;"",Sammanställning!I49,"")</f>
        <v/>
      </c>
      <c r="J87" s="101">
        <f t="shared" si="3"/>
        <v>0</v>
      </c>
      <c r="K87" s="103">
        <f t="shared" si="2"/>
        <v>0</v>
      </c>
      <c r="L87" s="81" cm="1">
        <f t="array" ref="L87">IFERROR(_xlfn.IFS(I87="/påbörjad h",H87*K87,I87="/tillfälle",H87,I87="/pers/påbörjad h",E87*H87*K87,I87="/pers",E87*H87,I87="/instruktör",E87*H87,I87="/instruktör/påbörjad h",E87*H87*K87,I87="/st",E87*H87,I87="/bord",E87*H87,I87="",0),0)</f>
        <v>0</v>
      </c>
    </row>
    <row r="88" spans="1:12" ht="19.649999999999999" hidden="1" customHeight="1" x14ac:dyDescent="0.25">
      <c r="A88" s="75" t="str">
        <f>IF(Sammanställning!$F50&lt;&gt;"",Sammanställning!A50,"")</f>
        <v/>
      </c>
      <c r="B88" s="76" t="str">
        <f>IF(Sammanställning!$F50&lt;&gt;"",Sammanställning!B50,"")</f>
        <v/>
      </c>
      <c r="C88" s="77" t="str">
        <f>IF(Sammanställning!$F50&lt;&gt;"",Sammanställning!C50,"")</f>
        <v/>
      </c>
      <c r="D88" s="78" t="str">
        <f>IF(Sammanställning!$F50&lt;&gt;"",Sammanställning!D50,"")</f>
        <v/>
      </c>
      <c r="E88" s="79" t="str">
        <f>IF(Sammanställning!$F50&lt;&gt;"",Sammanställning!E50,"")</f>
        <v/>
      </c>
      <c r="F88" s="72" t="str">
        <f>IF(Sammanställning!$F50&lt;&gt;"",Sammanställning!K50,"")</f>
        <v/>
      </c>
      <c r="G88" s="80" t="str">
        <f>IF(Sammanställning!$F50&lt;&gt;"",Sammanställning!G50,"")</f>
        <v/>
      </c>
      <c r="H88" s="97" t="str">
        <f>IF(Sammanställning!$F50&lt;&gt;"",Sammanställning!H50,"")</f>
        <v/>
      </c>
      <c r="I88" s="99" t="str">
        <f>IF(Sammanställning!$F50&lt;&gt;"",Sammanställning!I50,"")</f>
        <v/>
      </c>
      <c r="J88" s="101">
        <f t="shared" si="3"/>
        <v>0</v>
      </c>
      <c r="K88" s="103">
        <f t="shared" si="2"/>
        <v>0</v>
      </c>
      <c r="L88" s="81" cm="1">
        <f t="array" ref="L88">IFERROR(_xlfn.IFS(I88="/påbörjad h",H88*K88,I88="/tillfälle",H88,I88="/pers/påbörjad h",E88*H88*K88,I88="/pers",E88*H88,I88="/instruktör",E88*H88,I88="/instruktör/påbörjad h",E88*H88*K88,I88="/st",E88*H88,I88="/bord",E88*H88,I88="",0),0)</f>
        <v>0</v>
      </c>
    </row>
    <row r="89" spans="1:12" ht="19.649999999999999" hidden="1" customHeight="1" x14ac:dyDescent="0.25">
      <c r="A89" s="75" t="str">
        <f>IF(Sammanställning!$F51&lt;&gt;"",Sammanställning!A51,"")</f>
        <v/>
      </c>
      <c r="B89" s="76" t="str">
        <f>IF(Sammanställning!$F51&lt;&gt;"",Sammanställning!B51,"")</f>
        <v/>
      </c>
      <c r="C89" s="77" t="str">
        <f>IF(Sammanställning!$F51&lt;&gt;"",Sammanställning!C51,"")</f>
        <v/>
      </c>
      <c r="D89" s="78" t="str">
        <f>IF(Sammanställning!$F51&lt;&gt;"",Sammanställning!D51,"")</f>
        <v/>
      </c>
      <c r="E89" s="79" t="str">
        <f>IF(Sammanställning!$F51&lt;&gt;"",Sammanställning!E51,"")</f>
        <v/>
      </c>
      <c r="F89" s="72" t="str">
        <f>IF(Sammanställning!$F51&lt;&gt;"",Sammanställning!K51,"")</f>
        <v/>
      </c>
      <c r="G89" s="80" t="str">
        <f>IF(Sammanställning!$F51&lt;&gt;"",Sammanställning!G51,"")</f>
        <v/>
      </c>
      <c r="H89" s="97" t="str">
        <f>IF(Sammanställning!$F51&lt;&gt;"",Sammanställning!H51,"")</f>
        <v/>
      </c>
      <c r="I89" s="99" t="str">
        <f>IF(Sammanställning!$F51&lt;&gt;"",Sammanställning!I51,"")</f>
        <v/>
      </c>
      <c r="J89" s="101">
        <f t="shared" si="3"/>
        <v>0</v>
      </c>
      <c r="K89" s="103">
        <f t="shared" si="2"/>
        <v>0</v>
      </c>
      <c r="L89" s="81" cm="1">
        <f t="array" ref="L89">IFERROR(_xlfn.IFS(I89="/påbörjad h",H89*K89,I89="/tillfälle",H89,I89="/pers/påbörjad h",E89*H89*K89,I89="/pers",E89*H89,I89="/instruktör",E89*H89,I89="/instruktör/påbörjad h",E89*H89*K89,I89="/st",E89*H89,I89="/bord",E89*H89,I89="",0),0)</f>
        <v>0</v>
      </c>
    </row>
    <row r="90" spans="1:12" ht="19.649999999999999" hidden="1" customHeight="1" x14ac:dyDescent="0.25">
      <c r="A90" s="75" t="str">
        <f>IF(Sammanställning!$F52&lt;&gt;"",Sammanställning!A52,"")</f>
        <v/>
      </c>
      <c r="B90" s="76" t="str">
        <f>IF(Sammanställning!$F52&lt;&gt;"",Sammanställning!B52,"")</f>
        <v/>
      </c>
      <c r="C90" s="77" t="str">
        <f>IF(Sammanställning!$F52&lt;&gt;"",Sammanställning!C52,"")</f>
        <v/>
      </c>
      <c r="D90" s="78" t="str">
        <f>IF(Sammanställning!$F52&lt;&gt;"",Sammanställning!D52,"")</f>
        <v/>
      </c>
      <c r="E90" s="79" t="str">
        <f>IF(Sammanställning!$F52&lt;&gt;"",Sammanställning!E52,"")</f>
        <v/>
      </c>
      <c r="F90" s="72" t="str">
        <f>IF(Sammanställning!$F52&lt;&gt;"",Sammanställning!K52,"")</f>
        <v/>
      </c>
      <c r="G90" s="80" t="str">
        <f>IF(Sammanställning!$F52&lt;&gt;"",Sammanställning!G52,"")</f>
        <v/>
      </c>
      <c r="H90" s="97" t="str">
        <f>IF(Sammanställning!$F52&lt;&gt;"",Sammanställning!H52,"")</f>
        <v/>
      </c>
      <c r="I90" s="99" t="str">
        <f>IF(Sammanställning!$F52&lt;&gt;"",Sammanställning!I52,"")</f>
        <v/>
      </c>
      <c r="J90" s="101">
        <f t="shared" si="3"/>
        <v>0</v>
      </c>
      <c r="K90" s="103">
        <f t="shared" si="2"/>
        <v>0</v>
      </c>
      <c r="L90" s="81" cm="1">
        <f t="array" ref="L90">IFERROR(_xlfn.IFS(I90="/påbörjad h",H90*K90,I90="/tillfälle",H90,I90="/pers/påbörjad h",E90*H90*K90,I90="/pers",E90*H90,I90="/instruktör",E90*H90,I90="/instruktör/påbörjad h",E90*H90*K90,I90="/st",E90*H90,I90="/bord",E90*H90,I90="",0),0)</f>
        <v>0</v>
      </c>
    </row>
    <row r="91" spans="1:12" ht="19.649999999999999" hidden="1" customHeight="1" x14ac:dyDescent="0.25">
      <c r="A91" s="75" t="str">
        <f>IF(Sammanställning!$F53&lt;&gt;"",Sammanställning!A53,"")</f>
        <v/>
      </c>
      <c r="B91" s="76" t="str">
        <f>IF(Sammanställning!$F53&lt;&gt;"",Sammanställning!B53,"")</f>
        <v/>
      </c>
      <c r="C91" s="77" t="str">
        <f>IF(Sammanställning!$F53&lt;&gt;"",Sammanställning!C53,"")</f>
        <v/>
      </c>
      <c r="D91" s="78" t="str">
        <f>IF(Sammanställning!$F53&lt;&gt;"",Sammanställning!D53,"")</f>
        <v/>
      </c>
      <c r="E91" s="79" t="str">
        <f>IF(Sammanställning!$F53&lt;&gt;"",Sammanställning!E53,"")</f>
        <v/>
      </c>
      <c r="F91" s="72" t="str">
        <f>IF(Sammanställning!$F53&lt;&gt;"",Sammanställning!K53,"")</f>
        <v/>
      </c>
      <c r="G91" s="80" t="str">
        <f>IF(Sammanställning!$F53&lt;&gt;"",Sammanställning!G53,"")</f>
        <v/>
      </c>
      <c r="H91" s="97" t="str">
        <f>IF(Sammanställning!$F53&lt;&gt;"",Sammanställning!H53,"")</f>
        <v/>
      </c>
      <c r="I91" s="99" t="str">
        <f>IF(Sammanställning!$F53&lt;&gt;"",Sammanställning!I53,"")</f>
        <v/>
      </c>
      <c r="J91" s="101">
        <f t="shared" si="3"/>
        <v>0</v>
      </c>
      <c r="K91" s="103">
        <f t="shared" si="2"/>
        <v>0</v>
      </c>
      <c r="L91" s="81" cm="1">
        <f t="array" ref="L91">IFERROR(_xlfn.IFS(I91="/påbörjad h",H91*K91,I91="/tillfälle",H91,I91="/pers/påbörjad h",E91*H91*K91,I91="/pers",E91*H91,I91="/instruktör",E91*H91,I91="/instruktör/påbörjad h",E91*H91*K91,I91="/st",E91*H91,I91="/bord",E91*H91,I91="",0),0)</f>
        <v>0</v>
      </c>
    </row>
    <row r="92" spans="1:12" ht="19.649999999999999" hidden="1" customHeight="1" x14ac:dyDescent="0.25">
      <c r="A92" s="75" t="str">
        <f>IF(Sammanställning!$F54&lt;&gt;"",Sammanställning!A54,"")</f>
        <v/>
      </c>
      <c r="B92" s="76" t="str">
        <f>IF(Sammanställning!$F54&lt;&gt;"",Sammanställning!B54,"")</f>
        <v/>
      </c>
      <c r="C92" s="77" t="str">
        <f>IF(Sammanställning!$F54&lt;&gt;"",Sammanställning!C54,"")</f>
        <v/>
      </c>
      <c r="D92" s="78" t="str">
        <f>IF(Sammanställning!$F54&lt;&gt;"",Sammanställning!D54,"")</f>
        <v/>
      </c>
      <c r="E92" s="79" t="str">
        <f>IF(Sammanställning!$F54&lt;&gt;"",Sammanställning!E54,"")</f>
        <v/>
      </c>
      <c r="F92" s="72" t="str">
        <f>IF(Sammanställning!$F54&lt;&gt;"",Sammanställning!K54,"")</f>
        <v/>
      </c>
      <c r="G92" s="80" t="str">
        <f>IF(Sammanställning!$F54&lt;&gt;"",Sammanställning!G54,"")</f>
        <v/>
      </c>
      <c r="H92" s="97" t="str">
        <f>IF(Sammanställning!$F54&lt;&gt;"",Sammanställning!H54,"")</f>
        <v/>
      </c>
      <c r="I92" s="99" t="str">
        <f>IF(Sammanställning!$F54&lt;&gt;"",Sammanställning!I54,"")</f>
        <v/>
      </c>
      <c r="J92" s="101">
        <f t="shared" si="3"/>
        <v>0</v>
      </c>
      <c r="K92" s="103">
        <f t="shared" si="2"/>
        <v>0</v>
      </c>
      <c r="L92" s="81" cm="1">
        <f t="array" ref="L92">IFERROR(_xlfn.IFS(I92="/påbörjad h",H92*K92,I92="/tillfälle",H92,I92="/pers/påbörjad h",E92*H92*K92,I92="/pers",E92*H92,I92="/instruktör",E92*H92,I92="/instruktör/påbörjad h",E92*H92*K92,I92="/st",E92*H92,I92="/bord",E92*H92,I92="",0),0)</f>
        <v>0</v>
      </c>
    </row>
    <row r="93" spans="1:12" ht="19.649999999999999" hidden="1" customHeight="1" x14ac:dyDescent="0.25">
      <c r="A93" s="75" t="str">
        <f>IF(Sammanställning!$F55&lt;&gt;"",Sammanställning!A55,"")</f>
        <v/>
      </c>
      <c r="B93" s="76" t="str">
        <f>IF(Sammanställning!$F55&lt;&gt;"",Sammanställning!B55,"")</f>
        <v/>
      </c>
      <c r="C93" s="77" t="str">
        <f>IF(Sammanställning!$F55&lt;&gt;"",Sammanställning!C55,"")</f>
        <v/>
      </c>
      <c r="D93" s="78" t="str">
        <f>IF(Sammanställning!$F55&lt;&gt;"",Sammanställning!D55,"")</f>
        <v/>
      </c>
      <c r="E93" s="79" t="str">
        <f>IF(Sammanställning!$F55&lt;&gt;"",Sammanställning!E55,"")</f>
        <v/>
      </c>
      <c r="F93" s="72" t="str">
        <f>IF(Sammanställning!$F55&lt;&gt;"",Sammanställning!K55,"")</f>
        <v/>
      </c>
      <c r="G93" s="80" t="str">
        <f>IF(Sammanställning!$F55&lt;&gt;"",Sammanställning!G55,"")</f>
        <v/>
      </c>
      <c r="H93" s="97" t="str">
        <f>IF(Sammanställning!$F55&lt;&gt;"",Sammanställning!H55,"")</f>
        <v/>
      </c>
      <c r="I93" s="99" t="str">
        <f>IF(Sammanställning!$F55&lt;&gt;"",Sammanställning!I55,"")</f>
        <v/>
      </c>
      <c r="J93" s="101">
        <f t="shared" si="3"/>
        <v>0</v>
      </c>
      <c r="K93" s="103">
        <f t="shared" si="2"/>
        <v>0</v>
      </c>
      <c r="L93" s="81" cm="1">
        <f t="array" ref="L93">IFERROR(_xlfn.IFS(I93="/påbörjad h",H93*K93,I93="/tillfälle",H93,I93="/pers/påbörjad h",E93*H93*K93,I93="/pers",E93*H93,I93="/instruktör",E93*H93,I93="/instruktör/påbörjad h",E93*H93*K93,I93="/st",E93*H93,I93="/bord",E93*H93,I93="",0),0)</f>
        <v>0</v>
      </c>
    </row>
    <row r="94" spans="1:12" ht="19.649999999999999" hidden="1" customHeight="1" x14ac:dyDescent="0.25">
      <c r="A94" s="75" t="str">
        <f>IF(Sammanställning!$F56&lt;&gt;"",Sammanställning!A56,"")</f>
        <v/>
      </c>
      <c r="B94" s="76" t="str">
        <f>IF(Sammanställning!$F56&lt;&gt;"",Sammanställning!B56,"")</f>
        <v/>
      </c>
      <c r="C94" s="77" t="str">
        <f>IF(Sammanställning!$F56&lt;&gt;"",Sammanställning!C56,"")</f>
        <v/>
      </c>
      <c r="D94" s="78" t="str">
        <f>IF(Sammanställning!$F56&lt;&gt;"",Sammanställning!D56,"")</f>
        <v/>
      </c>
      <c r="E94" s="79" t="str">
        <f>IF(Sammanställning!$F56&lt;&gt;"",Sammanställning!E56,"")</f>
        <v/>
      </c>
      <c r="F94" s="72" t="str">
        <f>IF(Sammanställning!$F56&lt;&gt;"",Sammanställning!K56,"")</f>
        <v/>
      </c>
      <c r="G94" s="80" t="str">
        <f>IF(Sammanställning!$F56&lt;&gt;"",Sammanställning!G56,"")</f>
        <v/>
      </c>
      <c r="H94" s="97" t="str">
        <f>IF(Sammanställning!$F56&lt;&gt;"",Sammanställning!H56,"")</f>
        <v/>
      </c>
      <c r="I94" s="99" t="str">
        <f>IF(Sammanställning!$F56&lt;&gt;"",Sammanställning!I56,"")</f>
        <v/>
      </c>
      <c r="J94" s="101">
        <f t="shared" si="3"/>
        <v>0</v>
      </c>
      <c r="K94" s="103">
        <f t="shared" si="2"/>
        <v>0</v>
      </c>
      <c r="L94" s="81" cm="1">
        <f t="array" ref="L94">IFERROR(_xlfn.IFS(I94="/påbörjad h",H94*K94,I94="/tillfälle",H94,I94="/pers/påbörjad h",E94*H94*K94,I94="/pers",E94*H94,I94="/instruktör",E94*H94,I94="/instruktör/påbörjad h",E94*H94*K94,I94="/st",E94*H94,I94="/bord",E94*H94,I94="",0),0)</f>
        <v>0</v>
      </c>
    </row>
    <row r="95" spans="1:12" ht="19.649999999999999" hidden="1" customHeight="1" x14ac:dyDescent="0.25">
      <c r="A95" s="75" t="str">
        <f>IF(Sammanställning!$F57&lt;&gt;"",Sammanställning!A57,"")</f>
        <v/>
      </c>
      <c r="B95" s="76" t="str">
        <f>IF(Sammanställning!$F57&lt;&gt;"",Sammanställning!B57,"")</f>
        <v/>
      </c>
      <c r="C95" s="77" t="str">
        <f>IF(Sammanställning!$F57&lt;&gt;"",Sammanställning!C57,"")</f>
        <v/>
      </c>
      <c r="D95" s="78" t="str">
        <f>IF(Sammanställning!$F57&lt;&gt;"",Sammanställning!D57,"")</f>
        <v/>
      </c>
      <c r="E95" s="79" t="str">
        <f>IF(Sammanställning!$F57&lt;&gt;"",Sammanställning!E57,"")</f>
        <v/>
      </c>
      <c r="F95" s="72" t="str">
        <f>IF(Sammanställning!$F57&lt;&gt;"",Sammanställning!K57,"")</f>
        <v/>
      </c>
      <c r="G95" s="80" t="str">
        <f>IF(Sammanställning!$F57&lt;&gt;"",Sammanställning!G57,"")</f>
        <v/>
      </c>
      <c r="H95" s="97" t="str">
        <f>IF(Sammanställning!$F57&lt;&gt;"",Sammanställning!H57,"")</f>
        <v/>
      </c>
      <c r="I95" s="99" t="str">
        <f>IF(Sammanställning!$F57&lt;&gt;"",Sammanställning!I57,"")</f>
        <v/>
      </c>
      <c r="J95" s="101">
        <f t="shared" si="3"/>
        <v>0</v>
      </c>
      <c r="K95" s="103">
        <f t="shared" si="2"/>
        <v>0</v>
      </c>
      <c r="L95" s="81" cm="1">
        <f t="array" ref="L95">IFERROR(_xlfn.IFS(I95="/påbörjad h",H95*K95,I95="/tillfälle",H95,I95="/pers/påbörjad h",E95*H95*K95,I95="/pers",E95*H95,I95="/instruktör",E95*H95,I95="/instruktör/påbörjad h",E95*H95*K95,I95="/st",E95*H95,I95="/bord",E95*H95,I95="",0),0)</f>
        <v>0</v>
      </c>
    </row>
    <row r="96" spans="1:12" ht="19.649999999999999" hidden="1" customHeight="1" x14ac:dyDescent="0.25">
      <c r="A96" s="75" t="str">
        <f>IF(Sammanställning!$F58&lt;&gt;"",Sammanställning!A58,"")</f>
        <v/>
      </c>
      <c r="B96" s="76" t="str">
        <f>IF(Sammanställning!$F58&lt;&gt;"",Sammanställning!B58,"")</f>
        <v/>
      </c>
      <c r="C96" s="77" t="str">
        <f>IF(Sammanställning!$F58&lt;&gt;"",Sammanställning!C58,"")</f>
        <v/>
      </c>
      <c r="D96" s="78" t="str">
        <f>IF(Sammanställning!$F58&lt;&gt;"",Sammanställning!D58,"")</f>
        <v/>
      </c>
      <c r="E96" s="79" t="str">
        <f>IF(Sammanställning!$F58&lt;&gt;"",Sammanställning!E58,"")</f>
        <v/>
      </c>
      <c r="F96" s="72" t="str">
        <f>IF(Sammanställning!$F58&lt;&gt;"",Sammanställning!K58,"")</f>
        <v/>
      </c>
      <c r="G96" s="80" t="str">
        <f>IF(Sammanställning!$F58&lt;&gt;"",Sammanställning!G58,"")</f>
        <v/>
      </c>
      <c r="H96" s="97" t="str">
        <f>IF(Sammanställning!$F58&lt;&gt;"",Sammanställning!H58,"")</f>
        <v/>
      </c>
      <c r="I96" s="99" t="str">
        <f>IF(Sammanställning!$F58&lt;&gt;"",Sammanställning!I58,"")</f>
        <v/>
      </c>
      <c r="J96" s="101">
        <f t="shared" si="3"/>
        <v>0</v>
      </c>
      <c r="K96" s="103">
        <f t="shared" si="2"/>
        <v>0</v>
      </c>
      <c r="L96" s="81" cm="1">
        <f t="array" ref="L96">IFERROR(_xlfn.IFS(I96="/påbörjad h",H96*K96,I96="/tillfälle",H96,I96="/pers/påbörjad h",E96*H96*K96,I96="/pers",E96*H96,I96="/instruktör",E96*H96,I96="/instruktör/påbörjad h",E96*H96*K96,I96="/st",E96*H96,I96="/bord",E96*H96,I96="",0),0)</f>
        <v>0</v>
      </c>
    </row>
    <row r="97" spans="1:12" ht="19.649999999999999" hidden="1" customHeight="1" x14ac:dyDescent="0.25">
      <c r="A97" s="75" t="str">
        <f>IF(Sammanställning!$F59&lt;&gt;"",Sammanställning!A59,"")</f>
        <v/>
      </c>
      <c r="B97" s="76" t="str">
        <f>IF(Sammanställning!$F59&lt;&gt;"",Sammanställning!B59,"")</f>
        <v/>
      </c>
      <c r="C97" s="77" t="str">
        <f>IF(Sammanställning!$F59&lt;&gt;"",Sammanställning!C59,"")</f>
        <v/>
      </c>
      <c r="D97" s="78" t="str">
        <f>IF(Sammanställning!$F59&lt;&gt;"",Sammanställning!D59,"")</f>
        <v/>
      </c>
      <c r="E97" s="79" t="str">
        <f>IF(Sammanställning!$F59&lt;&gt;"",Sammanställning!E59,"")</f>
        <v/>
      </c>
      <c r="F97" s="72" t="str">
        <f>IF(Sammanställning!$F59&lt;&gt;"",Sammanställning!K59,"")</f>
        <v/>
      </c>
      <c r="G97" s="80" t="str">
        <f>IF(Sammanställning!$F59&lt;&gt;"",Sammanställning!G59,"")</f>
        <v/>
      </c>
      <c r="H97" s="97" t="str">
        <f>IF(Sammanställning!$F59&lt;&gt;"",Sammanställning!H59,"")</f>
        <v/>
      </c>
      <c r="I97" s="99" t="str">
        <f>IF(Sammanställning!$F59&lt;&gt;"",Sammanställning!I59,"")</f>
        <v/>
      </c>
      <c r="J97" s="101">
        <f t="shared" si="3"/>
        <v>0</v>
      </c>
      <c r="K97" s="103">
        <f t="shared" si="2"/>
        <v>0</v>
      </c>
      <c r="L97" s="81" cm="1">
        <f t="array" ref="L97">IFERROR(_xlfn.IFS(I97="/påbörjad h",H97*K97,I97="/tillfälle",H97,I97="/pers/påbörjad h",E97*H97*K97,I97="/pers",E97*H97,I97="/instruktör",E97*H97,I97="/instruktör/påbörjad h",E97*H97*K97,I97="/st",E97*H97,I97="/bord",E97*H97,I97="",0),0)</f>
        <v>0</v>
      </c>
    </row>
    <row r="98" spans="1:12" ht="19.649999999999999" hidden="1" customHeight="1" x14ac:dyDescent="0.25">
      <c r="A98" s="75" t="str">
        <f>IF(Sammanställning!$F60&lt;&gt;"",Sammanställning!A60,"")</f>
        <v/>
      </c>
      <c r="B98" s="76" t="str">
        <f>IF(Sammanställning!$F60&lt;&gt;"",Sammanställning!B60,"")</f>
        <v/>
      </c>
      <c r="C98" s="77" t="str">
        <f>IF(Sammanställning!$F60&lt;&gt;"",Sammanställning!C60,"")</f>
        <v/>
      </c>
      <c r="D98" s="78" t="str">
        <f>IF(Sammanställning!$F60&lt;&gt;"",Sammanställning!D60,"")</f>
        <v/>
      </c>
      <c r="E98" s="79" t="str">
        <f>IF(Sammanställning!$F60&lt;&gt;"",Sammanställning!E60,"")</f>
        <v/>
      </c>
      <c r="F98" s="72" t="str">
        <f>IF(Sammanställning!$F60&lt;&gt;"",Sammanställning!K60,"")</f>
        <v/>
      </c>
      <c r="G98" s="80" t="str">
        <f>IF(Sammanställning!$F60&lt;&gt;"",Sammanställning!G60,"")</f>
        <v/>
      </c>
      <c r="H98" s="97" t="str">
        <f>IF(Sammanställning!$F60&lt;&gt;"",Sammanställning!H60,"")</f>
        <v/>
      </c>
      <c r="I98" s="99" t="str">
        <f>IF(Sammanställning!$F60&lt;&gt;"",Sammanställning!I60,"")</f>
        <v/>
      </c>
      <c r="J98" s="101">
        <f t="shared" si="3"/>
        <v>0</v>
      </c>
      <c r="K98" s="103">
        <f t="shared" si="2"/>
        <v>0</v>
      </c>
      <c r="L98" s="81" cm="1">
        <f t="array" ref="L98">IFERROR(_xlfn.IFS(I98="/påbörjad h",H98*K98,I98="/tillfälle",H98,I98="/pers/påbörjad h",E98*H98*K98,I98="/pers",E98*H98,I98="/instruktör",E98*H98,I98="/instruktör/påbörjad h",E98*H98*K98,I98="/st",E98*H98,I98="/bord",E98*H98,I98="",0),0)</f>
        <v>0</v>
      </c>
    </row>
    <row r="99" spans="1:12" ht="19.649999999999999" hidden="1" customHeight="1" x14ac:dyDescent="0.25">
      <c r="A99" s="75" t="str">
        <f>IF(Sammanställning!$F61&lt;&gt;"",Sammanställning!A61,"")</f>
        <v/>
      </c>
      <c r="B99" s="76" t="str">
        <f>IF(Sammanställning!$F61&lt;&gt;"",Sammanställning!B61,"")</f>
        <v/>
      </c>
      <c r="C99" s="77" t="str">
        <f>IF(Sammanställning!$F61&lt;&gt;"",Sammanställning!C61,"")</f>
        <v/>
      </c>
      <c r="D99" s="78" t="str">
        <f>IF(Sammanställning!$F61&lt;&gt;"",Sammanställning!D61,"")</f>
        <v/>
      </c>
      <c r="E99" s="79" t="str">
        <f>IF(Sammanställning!$F61&lt;&gt;"",Sammanställning!E61,"")</f>
        <v/>
      </c>
      <c r="F99" s="72" t="str">
        <f>IF(Sammanställning!$F61&lt;&gt;"",Sammanställning!K61,"")</f>
        <v/>
      </c>
      <c r="G99" s="80" t="str">
        <f>IF(Sammanställning!$F61&lt;&gt;"",Sammanställning!G61,"")</f>
        <v/>
      </c>
      <c r="H99" s="97" t="str">
        <f>IF(Sammanställning!$F61&lt;&gt;"",Sammanställning!H61,"")</f>
        <v/>
      </c>
      <c r="I99" s="99" t="str">
        <f>IF(Sammanställning!$F61&lt;&gt;"",Sammanställning!I61,"")</f>
        <v/>
      </c>
      <c r="J99" s="101">
        <f t="shared" si="3"/>
        <v>0</v>
      </c>
      <c r="K99" s="103">
        <f t="shared" si="2"/>
        <v>0</v>
      </c>
      <c r="L99" s="81" cm="1">
        <f t="array" ref="L99">IFERROR(_xlfn.IFS(I99="/påbörjad h",H99*K99,I99="/tillfälle",H99,I99="/pers/påbörjad h",E99*H99*K99,I99="/pers",E99*H99,I99="/instruktör",E99*H99,I99="/instruktör/påbörjad h",E99*H99*K99,I99="/st",E99*H99,I99="/bord",E99*H99,I99="",0),0)</f>
        <v>0</v>
      </c>
    </row>
    <row r="100" spans="1:12" ht="19.649999999999999" hidden="1" customHeight="1" x14ac:dyDescent="0.25">
      <c r="A100" s="75" t="str">
        <f>IF(Sammanställning!$F62&lt;&gt;"",Sammanställning!A62,"")</f>
        <v/>
      </c>
      <c r="B100" s="76" t="str">
        <f>IF(Sammanställning!$F62&lt;&gt;"",Sammanställning!B62,"")</f>
        <v/>
      </c>
      <c r="C100" s="77" t="str">
        <f>IF(Sammanställning!$F62&lt;&gt;"",Sammanställning!C62,"")</f>
        <v/>
      </c>
      <c r="D100" s="78" t="str">
        <f>IF(Sammanställning!$F62&lt;&gt;"",Sammanställning!D62,"")</f>
        <v/>
      </c>
      <c r="E100" s="79" t="str">
        <f>IF(Sammanställning!$F62&lt;&gt;"",Sammanställning!E62,"")</f>
        <v/>
      </c>
      <c r="F100" s="72" t="str">
        <f>IF(Sammanställning!$F62&lt;&gt;"",Sammanställning!K62,"")</f>
        <v/>
      </c>
      <c r="G100" s="80" t="str">
        <f>IF(Sammanställning!$F62&lt;&gt;"",Sammanställning!G62,"")</f>
        <v/>
      </c>
      <c r="H100" s="97" t="str">
        <f>IF(Sammanställning!$F62&lt;&gt;"",Sammanställning!H62,"")</f>
        <v/>
      </c>
      <c r="I100" s="99" t="str">
        <f>IF(Sammanställning!$F62&lt;&gt;"",Sammanställning!I62,"")</f>
        <v/>
      </c>
      <c r="J100" s="101">
        <f t="shared" si="3"/>
        <v>0</v>
      </c>
      <c r="K100" s="103">
        <f t="shared" si="2"/>
        <v>0</v>
      </c>
      <c r="L100" s="81" cm="1">
        <f t="array" ref="L100">IFERROR(_xlfn.IFS(I100="/påbörjad h",H100*K100,I100="/tillfälle",H100,I100="/pers/påbörjad h",E100*H100*K100,I100="/pers",E100*H100,I100="/instruktör",E100*H100,I100="/instruktör/påbörjad h",E100*H100*K100,I100="/st",E100*H100,I100="/bord",E100*H100,I100="",0),0)</f>
        <v>0</v>
      </c>
    </row>
    <row r="101" spans="1:12" ht="19.649999999999999" hidden="1" customHeight="1" x14ac:dyDescent="0.25">
      <c r="A101" s="75" t="str">
        <f>IF(Sammanställning!$F63&lt;&gt;"",Sammanställning!A63,"")</f>
        <v/>
      </c>
      <c r="B101" s="76" t="str">
        <f>IF(Sammanställning!$F63&lt;&gt;"",Sammanställning!B63,"")</f>
        <v/>
      </c>
      <c r="C101" s="77" t="str">
        <f>IF(Sammanställning!$F63&lt;&gt;"",Sammanställning!C63,"")</f>
        <v/>
      </c>
      <c r="D101" s="78" t="str">
        <f>IF(Sammanställning!$F63&lt;&gt;"",Sammanställning!D63,"")</f>
        <v/>
      </c>
      <c r="E101" s="79" t="str">
        <f>IF(Sammanställning!$F63&lt;&gt;"",Sammanställning!E63,"")</f>
        <v/>
      </c>
      <c r="F101" s="72" t="str">
        <f>IF(Sammanställning!$F63&lt;&gt;"",Sammanställning!K63,"")</f>
        <v/>
      </c>
      <c r="G101" s="80" t="str">
        <f>IF(Sammanställning!$F63&lt;&gt;"",Sammanställning!G63,"")</f>
        <v/>
      </c>
      <c r="H101" s="97" t="str">
        <f>IF(Sammanställning!$F63&lt;&gt;"",Sammanställning!H63,"")</f>
        <v/>
      </c>
      <c r="I101" s="99" t="str">
        <f>IF(Sammanställning!$F63&lt;&gt;"",Sammanställning!I63,"")</f>
        <v/>
      </c>
      <c r="J101" s="101">
        <f t="shared" si="3"/>
        <v>0</v>
      </c>
      <c r="K101" s="103">
        <f t="shared" si="2"/>
        <v>0</v>
      </c>
      <c r="L101" s="81" cm="1">
        <f t="array" ref="L101">IFERROR(_xlfn.IFS(I101="/påbörjad h",H101*K101,I101="/tillfälle",H101,I101="/pers/påbörjad h",E101*H101*K101,I101="/pers",E101*H101,I101="/instruktör",E101*H101,I101="/instruktör/påbörjad h",E101*H101*K101,I101="/st",E101*H101,I101="/bord",E101*H101,I101="",0),0)</f>
        <v>0</v>
      </c>
    </row>
    <row r="102" spans="1:12" ht="19.649999999999999" hidden="1" customHeight="1" x14ac:dyDescent="0.25">
      <c r="A102" s="75" t="str">
        <f>IF(Sammanställning!$F64&lt;&gt;"",Sammanställning!A64,"")</f>
        <v/>
      </c>
      <c r="B102" s="76" t="str">
        <f>IF(Sammanställning!$F64&lt;&gt;"",Sammanställning!B64,"")</f>
        <v/>
      </c>
      <c r="C102" s="77" t="str">
        <f>IF(Sammanställning!$F64&lt;&gt;"",Sammanställning!C64,"")</f>
        <v/>
      </c>
      <c r="D102" s="78" t="str">
        <f>IF(Sammanställning!$F64&lt;&gt;"",Sammanställning!D64,"")</f>
        <v/>
      </c>
      <c r="E102" s="79" t="str">
        <f>IF(Sammanställning!$F64&lt;&gt;"",Sammanställning!E64,"")</f>
        <v/>
      </c>
      <c r="F102" s="72" t="str">
        <f>IF(Sammanställning!$F64&lt;&gt;"",Sammanställning!K64,"")</f>
        <v/>
      </c>
      <c r="G102" s="80" t="str">
        <f>IF(Sammanställning!$F64&lt;&gt;"",Sammanställning!G64,"")</f>
        <v/>
      </c>
      <c r="H102" s="97" t="str">
        <f>IF(Sammanställning!$F64&lt;&gt;"",Sammanställning!H64,"")</f>
        <v/>
      </c>
      <c r="I102" s="99" t="str">
        <f>IF(Sammanställning!$F64&lt;&gt;"",Sammanställning!I64,"")</f>
        <v/>
      </c>
      <c r="J102" s="101">
        <f t="shared" si="3"/>
        <v>0</v>
      </c>
      <c r="K102" s="103">
        <f t="shared" si="2"/>
        <v>0</v>
      </c>
      <c r="L102" s="81" cm="1">
        <f t="array" ref="L102">IFERROR(_xlfn.IFS(I102="/påbörjad h",H102*K102,I102="/tillfälle",H102,I102="/pers/påbörjad h",E102*H102*K102,I102="/pers",E102*H102,I102="/instruktör",E102*H102,I102="/instruktör/påbörjad h",E102*H102*K102,I102="/st",E102*H102,I102="/bord",E102*H102,I102="",0),0)</f>
        <v>0</v>
      </c>
    </row>
    <row r="103" spans="1:12" ht="19.649999999999999" hidden="1" customHeight="1" x14ac:dyDescent="0.25">
      <c r="A103" s="75" t="str">
        <f>IF(Sammanställning!$F65&lt;&gt;"",Sammanställning!A65,"")</f>
        <v/>
      </c>
      <c r="B103" s="76" t="str">
        <f>IF(Sammanställning!$F65&lt;&gt;"",Sammanställning!B65,"")</f>
        <v/>
      </c>
      <c r="C103" s="77" t="str">
        <f>IF(Sammanställning!$F65&lt;&gt;"",Sammanställning!C65,"")</f>
        <v/>
      </c>
      <c r="D103" s="78" t="str">
        <f>IF(Sammanställning!$F65&lt;&gt;"",Sammanställning!D65,"")</f>
        <v/>
      </c>
      <c r="E103" s="79" t="str">
        <f>IF(Sammanställning!$F65&lt;&gt;"",Sammanställning!E65,"")</f>
        <v/>
      </c>
      <c r="F103" s="72" t="str">
        <f>IF(Sammanställning!$F65&lt;&gt;"",Sammanställning!K65,"")</f>
        <v/>
      </c>
      <c r="G103" s="80" t="str">
        <f>IF(Sammanställning!$F65&lt;&gt;"",Sammanställning!G65,"")</f>
        <v/>
      </c>
      <c r="H103" s="97" t="str">
        <f>IF(Sammanställning!$F65&lt;&gt;"",Sammanställning!H65,"")</f>
        <v/>
      </c>
      <c r="I103" s="99" t="str">
        <f>IF(Sammanställning!$F65&lt;&gt;"",Sammanställning!I65,"")</f>
        <v/>
      </c>
      <c r="J103" s="101">
        <f t="shared" si="3"/>
        <v>0</v>
      </c>
      <c r="K103" s="103">
        <f t="shared" ref="K103:K134" si="4">IFERROR(ROUNDUP((D103-C103)*24,0),0)</f>
        <v>0</v>
      </c>
      <c r="L103" s="81" cm="1">
        <f t="array" ref="L103">IFERROR(_xlfn.IFS(I103="/påbörjad h",H103*K103,I103="/tillfälle",H103,I103="/pers/påbörjad h",E103*H103*K103,I103="/pers",E103*H103,I103="/instruktör",E103*H103,I103="/instruktör/påbörjad h",E103*H103*K103,I103="/st",E103*H103,I103="/bord",E103*H103,I103="",0),0)</f>
        <v>0</v>
      </c>
    </row>
    <row r="104" spans="1:12" ht="19.649999999999999" hidden="1" customHeight="1" x14ac:dyDescent="0.25">
      <c r="A104" s="75" t="str">
        <f>IF(Sammanställning!$F66&lt;&gt;"",Sammanställning!A66,"")</f>
        <v/>
      </c>
      <c r="B104" s="76" t="str">
        <f>IF(Sammanställning!$F66&lt;&gt;"",Sammanställning!B66,"")</f>
        <v/>
      </c>
      <c r="C104" s="77" t="str">
        <f>IF(Sammanställning!$F66&lt;&gt;"",Sammanställning!C66,"")</f>
        <v/>
      </c>
      <c r="D104" s="78" t="str">
        <f>IF(Sammanställning!$F66&lt;&gt;"",Sammanställning!D66,"")</f>
        <v/>
      </c>
      <c r="E104" s="79" t="str">
        <f>IF(Sammanställning!$F66&lt;&gt;"",Sammanställning!E66,"")</f>
        <v/>
      </c>
      <c r="F104" s="72" t="str">
        <f>IF(Sammanställning!$F66&lt;&gt;"",Sammanställning!K66,"")</f>
        <v/>
      </c>
      <c r="G104" s="80" t="str">
        <f>IF(Sammanställning!$F66&lt;&gt;"",Sammanställning!G66,"")</f>
        <v/>
      </c>
      <c r="H104" s="97" t="str">
        <f>IF(Sammanställning!$F66&lt;&gt;"",Sammanställning!H66,"")</f>
        <v/>
      </c>
      <c r="I104" s="99" t="str">
        <f>IF(Sammanställning!$F66&lt;&gt;"",Sammanställning!I66,"")</f>
        <v/>
      </c>
      <c r="J104" s="101">
        <f t="shared" ref="J104:J134" si="5">IFERROR(IF(OR(F104=TRUE),0,L104),0)</f>
        <v>0</v>
      </c>
      <c r="K104" s="103">
        <f t="shared" si="4"/>
        <v>0</v>
      </c>
      <c r="L104" s="81" cm="1">
        <f t="array" ref="L104">IFERROR(_xlfn.IFS(I104="/påbörjad h",H104*K104,I104="/tillfälle",H104,I104="/pers/påbörjad h",E104*H104*K104,I104="/pers",E104*H104,I104="/instruktör",E104*H104,I104="/instruktör/påbörjad h",E104*H104*K104,I104="/st",E104*H104,I104="/bord",E104*H104,I104="",0),0)</f>
        <v>0</v>
      </c>
    </row>
    <row r="105" spans="1:12" ht="19.649999999999999" hidden="1" customHeight="1" x14ac:dyDescent="0.25">
      <c r="A105" s="75" t="str">
        <f>IF(Sammanställning!$F67&lt;&gt;"",Sammanställning!A67,"")</f>
        <v/>
      </c>
      <c r="B105" s="76" t="str">
        <f>IF(Sammanställning!$F67&lt;&gt;"",Sammanställning!B67,"")</f>
        <v/>
      </c>
      <c r="C105" s="77" t="str">
        <f>IF(Sammanställning!$F67&lt;&gt;"",Sammanställning!C67,"")</f>
        <v/>
      </c>
      <c r="D105" s="78" t="str">
        <f>IF(Sammanställning!$F67&lt;&gt;"",Sammanställning!D67,"")</f>
        <v/>
      </c>
      <c r="E105" s="79" t="str">
        <f>IF(Sammanställning!$F67&lt;&gt;"",Sammanställning!E67,"")</f>
        <v/>
      </c>
      <c r="F105" s="72" t="str">
        <f>IF(Sammanställning!$F67&lt;&gt;"",Sammanställning!K67,"")</f>
        <v/>
      </c>
      <c r="G105" s="80" t="str">
        <f>IF(Sammanställning!$F67&lt;&gt;"",Sammanställning!G67,"")</f>
        <v/>
      </c>
      <c r="H105" s="97" t="str">
        <f>IF(Sammanställning!$F67&lt;&gt;"",Sammanställning!H67,"")</f>
        <v/>
      </c>
      <c r="I105" s="99" t="str">
        <f>IF(Sammanställning!$F67&lt;&gt;"",Sammanställning!I67,"")</f>
        <v/>
      </c>
      <c r="J105" s="101">
        <f t="shared" si="5"/>
        <v>0</v>
      </c>
      <c r="K105" s="103">
        <f t="shared" si="4"/>
        <v>0</v>
      </c>
      <c r="L105" s="81" cm="1">
        <f t="array" ref="L105">IFERROR(_xlfn.IFS(I105="/påbörjad h",H105*K105,I105="/tillfälle",H105,I105="/pers/påbörjad h",E105*H105*K105,I105="/pers",E105*H105,I105="/instruktör",E105*H105,I105="/instruktör/påbörjad h",E105*H105*K105,I105="/st",E105*H105,I105="/bord",E105*H105,I105="",0),0)</f>
        <v>0</v>
      </c>
    </row>
    <row r="106" spans="1:12" ht="19.649999999999999" hidden="1" customHeight="1" x14ac:dyDescent="0.25">
      <c r="A106" s="75" t="str">
        <f>IF(Sammanställning!$F68&lt;&gt;"",Sammanställning!A68,"")</f>
        <v/>
      </c>
      <c r="B106" s="76" t="str">
        <f>IF(Sammanställning!$F68&lt;&gt;"",Sammanställning!B68,"")</f>
        <v/>
      </c>
      <c r="C106" s="77" t="str">
        <f>IF(Sammanställning!$F68&lt;&gt;"",Sammanställning!C68,"")</f>
        <v/>
      </c>
      <c r="D106" s="78" t="str">
        <f>IF(Sammanställning!$F68&lt;&gt;"",Sammanställning!D68,"")</f>
        <v/>
      </c>
      <c r="E106" s="79" t="str">
        <f>IF(Sammanställning!$F68&lt;&gt;"",Sammanställning!E68,"")</f>
        <v/>
      </c>
      <c r="F106" s="72" t="str">
        <f>IF(Sammanställning!$F68&lt;&gt;"",Sammanställning!K68,"")</f>
        <v/>
      </c>
      <c r="G106" s="80" t="str">
        <f>IF(Sammanställning!$F68&lt;&gt;"",Sammanställning!G68,"")</f>
        <v/>
      </c>
      <c r="H106" s="97" t="str">
        <f>IF(Sammanställning!$F68&lt;&gt;"",Sammanställning!H68,"")</f>
        <v/>
      </c>
      <c r="I106" s="99" t="str">
        <f>IF(Sammanställning!$F68&lt;&gt;"",Sammanställning!I68,"")</f>
        <v/>
      </c>
      <c r="J106" s="101">
        <f t="shared" si="5"/>
        <v>0</v>
      </c>
      <c r="K106" s="103">
        <f t="shared" si="4"/>
        <v>0</v>
      </c>
      <c r="L106" s="81" cm="1">
        <f t="array" ref="L106">IFERROR(_xlfn.IFS(I106="/påbörjad h",H106*K106,I106="/tillfälle",H106,I106="/pers/påbörjad h",E106*H106*K106,I106="/pers",E106*H106,I106="/instruktör",E106*H106,I106="/instruktör/påbörjad h",E106*H106*K106,I106="/st",E106*H106,I106="/bord",E106*H106,I106="",0),0)</f>
        <v>0</v>
      </c>
    </row>
    <row r="107" spans="1:12" ht="19.649999999999999" hidden="1" customHeight="1" x14ac:dyDescent="0.25">
      <c r="A107" s="75" t="str">
        <f>IF(Sammanställning!$F69&lt;&gt;"",Sammanställning!A69,"")</f>
        <v/>
      </c>
      <c r="B107" s="76" t="str">
        <f>IF(Sammanställning!$F69&lt;&gt;"",Sammanställning!B69,"")</f>
        <v/>
      </c>
      <c r="C107" s="77" t="str">
        <f>IF(Sammanställning!$F69&lt;&gt;"",Sammanställning!C69,"")</f>
        <v/>
      </c>
      <c r="D107" s="78" t="str">
        <f>IF(Sammanställning!$F69&lt;&gt;"",Sammanställning!D69,"")</f>
        <v/>
      </c>
      <c r="E107" s="79" t="str">
        <f>IF(Sammanställning!$F69&lt;&gt;"",Sammanställning!E69,"")</f>
        <v/>
      </c>
      <c r="F107" s="72" t="str">
        <f>IF(Sammanställning!$F69&lt;&gt;"",Sammanställning!K69,"")</f>
        <v/>
      </c>
      <c r="G107" s="80" t="str">
        <f>IF(Sammanställning!$F69&lt;&gt;"",Sammanställning!G69,"")</f>
        <v/>
      </c>
      <c r="H107" s="97" t="str">
        <f>IF(Sammanställning!$F69&lt;&gt;"",Sammanställning!H69,"")</f>
        <v/>
      </c>
      <c r="I107" s="99" t="str">
        <f>IF(Sammanställning!$F69&lt;&gt;"",Sammanställning!I69,"")</f>
        <v/>
      </c>
      <c r="J107" s="101">
        <f t="shared" si="5"/>
        <v>0</v>
      </c>
      <c r="K107" s="103">
        <f t="shared" si="4"/>
        <v>0</v>
      </c>
      <c r="L107" s="81" cm="1">
        <f t="array" ref="L107">IFERROR(_xlfn.IFS(I107="/påbörjad h",H107*K107,I107="/tillfälle",H107,I107="/pers/påbörjad h",E107*H107*K107,I107="/pers",E107*H107,I107="/instruktör",E107*H107,I107="/instruktör/påbörjad h",E107*H107*K107,I107="/st",E107*H107,I107="/bord",E107*H107,I107="",0),0)</f>
        <v>0</v>
      </c>
    </row>
    <row r="108" spans="1:12" ht="19.649999999999999" hidden="1" customHeight="1" x14ac:dyDescent="0.25">
      <c r="A108" s="75" t="str">
        <f>IF(Sammanställning!$F70&lt;&gt;"",Sammanställning!A70,"")</f>
        <v/>
      </c>
      <c r="B108" s="76" t="str">
        <f>IF(Sammanställning!$F70&lt;&gt;"",Sammanställning!B70,"")</f>
        <v/>
      </c>
      <c r="C108" s="77" t="str">
        <f>IF(Sammanställning!$F70&lt;&gt;"",Sammanställning!C70,"")</f>
        <v/>
      </c>
      <c r="D108" s="78" t="str">
        <f>IF(Sammanställning!$F70&lt;&gt;"",Sammanställning!D70,"")</f>
        <v/>
      </c>
      <c r="E108" s="79" t="str">
        <f>IF(Sammanställning!$F70&lt;&gt;"",Sammanställning!E70,"")</f>
        <v/>
      </c>
      <c r="F108" s="72" t="str">
        <f>IF(Sammanställning!$F70&lt;&gt;"",Sammanställning!K70,"")</f>
        <v/>
      </c>
      <c r="G108" s="80" t="str">
        <f>IF(Sammanställning!$F70&lt;&gt;"",Sammanställning!G70,"")</f>
        <v/>
      </c>
      <c r="H108" s="97" t="str">
        <f>IF(Sammanställning!$F70&lt;&gt;"",Sammanställning!H70,"")</f>
        <v/>
      </c>
      <c r="I108" s="99" t="str">
        <f>IF(Sammanställning!$F70&lt;&gt;"",Sammanställning!I70,"")</f>
        <v/>
      </c>
      <c r="J108" s="101">
        <f t="shared" si="5"/>
        <v>0</v>
      </c>
      <c r="K108" s="103">
        <f t="shared" si="4"/>
        <v>0</v>
      </c>
      <c r="L108" s="81" cm="1">
        <f t="array" ref="L108">IFERROR(_xlfn.IFS(I108="/påbörjad h",H108*K108,I108="/tillfälle",H108,I108="/pers/påbörjad h",E108*H108*K108,I108="/pers",E108*H108,I108="/instruktör",E108*H108,I108="/instruktör/påbörjad h",E108*H108*K108,I108="/st",E108*H108,I108="/bord",E108*H108,I108="",0),0)</f>
        <v>0</v>
      </c>
    </row>
    <row r="109" spans="1:12" ht="19.649999999999999" hidden="1" customHeight="1" x14ac:dyDescent="0.25">
      <c r="A109" s="75" t="str">
        <f>IF(Sammanställning!$F71&lt;&gt;"",Sammanställning!A71,"")</f>
        <v/>
      </c>
      <c r="B109" s="76" t="str">
        <f>IF(Sammanställning!$F71&lt;&gt;"",Sammanställning!B71,"")</f>
        <v/>
      </c>
      <c r="C109" s="77" t="str">
        <f>IF(Sammanställning!$F71&lt;&gt;"",Sammanställning!C71,"")</f>
        <v/>
      </c>
      <c r="D109" s="78" t="str">
        <f>IF(Sammanställning!$F71&lt;&gt;"",Sammanställning!D71,"")</f>
        <v/>
      </c>
      <c r="E109" s="79" t="str">
        <f>IF(Sammanställning!$F71&lt;&gt;"",Sammanställning!E71,"")</f>
        <v/>
      </c>
      <c r="F109" s="72" t="str">
        <f>IF(Sammanställning!$F71&lt;&gt;"",Sammanställning!K71,"")</f>
        <v/>
      </c>
      <c r="G109" s="80" t="str">
        <f>IF(Sammanställning!$F71&lt;&gt;"",Sammanställning!G71,"")</f>
        <v/>
      </c>
      <c r="H109" s="97" t="str">
        <f>IF(Sammanställning!$F71&lt;&gt;"",Sammanställning!H71,"")</f>
        <v/>
      </c>
      <c r="I109" s="99" t="str">
        <f>IF(Sammanställning!$F71&lt;&gt;"",Sammanställning!I71,"")</f>
        <v/>
      </c>
      <c r="J109" s="101">
        <f t="shared" si="5"/>
        <v>0</v>
      </c>
      <c r="K109" s="103">
        <f t="shared" si="4"/>
        <v>0</v>
      </c>
      <c r="L109" s="81" cm="1">
        <f t="array" ref="L109">IFERROR(_xlfn.IFS(I109="/påbörjad h",H109*K109,I109="/tillfälle",H109,I109="/pers/påbörjad h",E109*H109*K109,I109="/pers",E109*H109,I109="/instruktör",E109*H109,I109="/instruktör/påbörjad h",E109*H109*K109,I109="/st",E109*H109,I109="/bord",E109*H109,I109="",0),0)</f>
        <v>0</v>
      </c>
    </row>
    <row r="110" spans="1:12" ht="19.649999999999999" hidden="1" customHeight="1" x14ac:dyDescent="0.25">
      <c r="A110" s="75" t="str">
        <f>IF(Sammanställning!$F72&lt;&gt;"",Sammanställning!A72,"")</f>
        <v/>
      </c>
      <c r="B110" s="76" t="str">
        <f>IF(Sammanställning!$F72&lt;&gt;"",Sammanställning!B72,"")</f>
        <v/>
      </c>
      <c r="C110" s="77" t="str">
        <f>IF(Sammanställning!$F72&lt;&gt;"",Sammanställning!C72,"")</f>
        <v/>
      </c>
      <c r="D110" s="78" t="str">
        <f>IF(Sammanställning!$F72&lt;&gt;"",Sammanställning!D72,"")</f>
        <v/>
      </c>
      <c r="E110" s="79" t="str">
        <f>IF(Sammanställning!$F72&lt;&gt;"",Sammanställning!E72,"")</f>
        <v/>
      </c>
      <c r="F110" s="72" t="str">
        <f>IF(Sammanställning!$F72&lt;&gt;"",Sammanställning!K72,"")</f>
        <v/>
      </c>
      <c r="G110" s="80" t="str">
        <f>IF(Sammanställning!$F72&lt;&gt;"",Sammanställning!G72,"")</f>
        <v/>
      </c>
      <c r="H110" s="97" t="str">
        <f>IF(Sammanställning!$F72&lt;&gt;"",Sammanställning!H72,"")</f>
        <v/>
      </c>
      <c r="I110" s="99" t="str">
        <f>IF(Sammanställning!$F72&lt;&gt;"",Sammanställning!I72,"")</f>
        <v/>
      </c>
      <c r="J110" s="101">
        <f t="shared" si="5"/>
        <v>0</v>
      </c>
      <c r="K110" s="103">
        <f t="shared" si="4"/>
        <v>0</v>
      </c>
      <c r="L110" s="81" cm="1">
        <f t="array" ref="L110">IFERROR(_xlfn.IFS(I110="/påbörjad h",H110*K110,I110="/tillfälle",H110,I110="/pers/påbörjad h",E110*H110*K110,I110="/pers",E110*H110,I110="/instruktör",E110*H110,I110="/instruktör/påbörjad h",E110*H110*K110,I110="/st",E110*H110,I110="/bord",E110*H110,I110="",0),0)</f>
        <v>0</v>
      </c>
    </row>
    <row r="111" spans="1:12" ht="19.649999999999999" hidden="1" customHeight="1" x14ac:dyDescent="0.25">
      <c r="A111" s="75" t="str">
        <f>IF(Sammanställning!$F73&lt;&gt;"",Sammanställning!A73,"")</f>
        <v/>
      </c>
      <c r="B111" s="76" t="str">
        <f>IF(Sammanställning!$F73&lt;&gt;"",Sammanställning!B73,"")</f>
        <v/>
      </c>
      <c r="C111" s="77" t="str">
        <f>IF(Sammanställning!$F73&lt;&gt;"",Sammanställning!C73,"")</f>
        <v/>
      </c>
      <c r="D111" s="78" t="str">
        <f>IF(Sammanställning!$F73&lt;&gt;"",Sammanställning!D73,"")</f>
        <v/>
      </c>
      <c r="E111" s="79" t="str">
        <f>IF(Sammanställning!$F73&lt;&gt;"",Sammanställning!E73,"")</f>
        <v/>
      </c>
      <c r="F111" s="72" t="str">
        <f>IF(Sammanställning!$F73&lt;&gt;"",Sammanställning!K73,"")</f>
        <v/>
      </c>
      <c r="G111" s="80" t="str">
        <f>IF(Sammanställning!$F73&lt;&gt;"",Sammanställning!G73,"")</f>
        <v/>
      </c>
      <c r="H111" s="97" t="str">
        <f>IF(Sammanställning!$F73&lt;&gt;"",Sammanställning!H73,"")</f>
        <v/>
      </c>
      <c r="I111" s="99" t="str">
        <f>IF(Sammanställning!$F73&lt;&gt;"",Sammanställning!I73,"")</f>
        <v/>
      </c>
      <c r="J111" s="101">
        <f t="shared" si="5"/>
        <v>0</v>
      </c>
      <c r="K111" s="103">
        <f t="shared" si="4"/>
        <v>0</v>
      </c>
      <c r="L111" s="81" cm="1">
        <f t="array" ref="L111">IFERROR(_xlfn.IFS(I111="/påbörjad h",H111*K111,I111="/tillfälle",H111,I111="/pers/påbörjad h",E111*H111*K111,I111="/pers",E111*H111,I111="/instruktör",E111*H111,I111="/instruktör/påbörjad h",E111*H111*K111,I111="/st",E111*H111,I111="/bord",E111*H111,I111="",0),0)</f>
        <v>0</v>
      </c>
    </row>
    <row r="112" spans="1:12" ht="19.649999999999999" hidden="1" customHeight="1" x14ac:dyDescent="0.25">
      <c r="A112" s="75" t="str">
        <f>IF(Sammanställning!$F74&lt;&gt;"",Sammanställning!A74,"")</f>
        <v/>
      </c>
      <c r="B112" s="76" t="str">
        <f>IF(Sammanställning!$F74&lt;&gt;"",Sammanställning!B74,"")</f>
        <v/>
      </c>
      <c r="C112" s="77" t="str">
        <f>IF(Sammanställning!$F74&lt;&gt;"",Sammanställning!C74,"")</f>
        <v/>
      </c>
      <c r="D112" s="78" t="str">
        <f>IF(Sammanställning!$F74&lt;&gt;"",Sammanställning!D74,"")</f>
        <v/>
      </c>
      <c r="E112" s="79" t="str">
        <f>IF(Sammanställning!$F74&lt;&gt;"",Sammanställning!E74,"")</f>
        <v/>
      </c>
      <c r="F112" s="72" t="str">
        <f>IF(Sammanställning!$F74&lt;&gt;"",Sammanställning!K74,"")</f>
        <v/>
      </c>
      <c r="G112" s="80" t="str">
        <f>IF(Sammanställning!$F74&lt;&gt;"",Sammanställning!G74,"")</f>
        <v/>
      </c>
      <c r="H112" s="97" t="str">
        <f>IF(Sammanställning!$F74&lt;&gt;"",Sammanställning!H74,"")</f>
        <v/>
      </c>
      <c r="I112" s="99" t="str">
        <f>IF(Sammanställning!$F74&lt;&gt;"",Sammanställning!I74,"")</f>
        <v/>
      </c>
      <c r="J112" s="101">
        <f t="shared" si="5"/>
        <v>0</v>
      </c>
      <c r="K112" s="103">
        <f t="shared" si="4"/>
        <v>0</v>
      </c>
      <c r="L112" s="81" cm="1">
        <f t="array" ref="L112">IFERROR(_xlfn.IFS(I112="/påbörjad h",H112*K112,I112="/tillfälle",H112,I112="/pers/påbörjad h",E112*H112*K112,I112="/pers",E112*H112,I112="/instruktör",E112*H112,I112="/instruktör/påbörjad h",E112*H112*K112,I112="/st",E112*H112,I112="/bord",E112*H112,I112="",0),0)</f>
        <v>0</v>
      </c>
    </row>
    <row r="113" spans="1:12" ht="19.649999999999999" hidden="1" customHeight="1" x14ac:dyDescent="0.25">
      <c r="A113" s="75" t="str">
        <f>IF(Sammanställning!$F75&lt;&gt;"",Sammanställning!A75,"")</f>
        <v/>
      </c>
      <c r="B113" s="76" t="str">
        <f>IF(Sammanställning!$F75&lt;&gt;"",Sammanställning!B75,"")</f>
        <v/>
      </c>
      <c r="C113" s="77" t="str">
        <f>IF(Sammanställning!$F75&lt;&gt;"",Sammanställning!C75,"")</f>
        <v/>
      </c>
      <c r="D113" s="78" t="str">
        <f>IF(Sammanställning!$F75&lt;&gt;"",Sammanställning!D75,"")</f>
        <v/>
      </c>
      <c r="E113" s="79" t="str">
        <f>IF(Sammanställning!$F75&lt;&gt;"",Sammanställning!E75,"")</f>
        <v/>
      </c>
      <c r="F113" s="72" t="str">
        <f>IF(Sammanställning!$F75&lt;&gt;"",Sammanställning!K75,"")</f>
        <v/>
      </c>
      <c r="G113" s="80" t="str">
        <f>IF(Sammanställning!$F75&lt;&gt;"",Sammanställning!G75,"")</f>
        <v/>
      </c>
      <c r="H113" s="97" t="str">
        <f>IF(Sammanställning!$F75&lt;&gt;"",Sammanställning!H75,"")</f>
        <v/>
      </c>
      <c r="I113" s="99" t="str">
        <f>IF(Sammanställning!$F75&lt;&gt;"",Sammanställning!I75,"")</f>
        <v/>
      </c>
      <c r="J113" s="101">
        <f t="shared" si="5"/>
        <v>0</v>
      </c>
      <c r="K113" s="103">
        <f t="shared" si="4"/>
        <v>0</v>
      </c>
      <c r="L113" s="81" cm="1">
        <f t="array" ref="L113">IFERROR(_xlfn.IFS(I113="/påbörjad h",H113*K113,I113="/tillfälle",H113,I113="/pers/påbörjad h",E113*H113*K113,I113="/pers",E113*H113,I113="/instruktör",E113*H113,I113="/instruktör/påbörjad h",E113*H113*K113,I113="/st",E113*H113,I113="/bord",E113*H113,I113="",0),0)</f>
        <v>0</v>
      </c>
    </row>
    <row r="114" spans="1:12" ht="19.649999999999999" hidden="1" customHeight="1" x14ac:dyDescent="0.25">
      <c r="A114" s="75" t="str">
        <f>IF(Sammanställning!$F76&lt;&gt;"",Sammanställning!A76,"")</f>
        <v/>
      </c>
      <c r="B114" s="76" t="str">
        <f>IF(Sammanställning!$F76&lt;&gt;"",Sammanställning!B76,"")</f>
        <v/>
      </c>
      <c r="C114" s="77" t="str">
        <f>IF(Sammanställning!$F76&lt;&gt;"",Sammanställning!C76,"")</f>
        <v/>
      </c>
      <c r="D114" s="78" t="str">
        <f>IF(Sammanställning!$F76&lt;&gt;"",Sammanställning!D76,"")</f>
        <v/>
      </c>
      <c r="E114" s="79" t="str">
        <f>IF(Sammanställning!$F76&lt;&gt;"",Sammanställning!E76,"")</f>
        <v/>
      </c>
      <c r="F114" s="72" t="str">
        <f>IF(Sammanställning!$F76&lt;&gt;"",Sammanställning!K76,"")</f>
        <v/>
      </c>
      <c r="G114" s="80" t="str">
        <f>IF(Sammanställning!$F76&lt;&gt;"",Sammanställning!G76,"")</f>
        <v/>
      </c>
      <c r="H114" s="97" t="str">
        <f>IF(Sammanställning!$F76&lt;&gt;"",Sammanställning!H76,"")</f>
        <v/>
      </c>
      <c r="I114" s="99" t="str">
        <f>IF(Sammanställning!$F76&lt;&gt;"",Sammanställning!I76,"")</f>
        <v/>
      </c>
      <c r="J114" s="101">
        <f t="shared" si="5"/>
        <v>0</v>
      </c>
      <c r="K114" s="103">
        <f t="shared" si="4"/>
        <v>0</v>
      </c>
      <c r="L114" s="81" cm="1">
        <f t="array" ref="L114">IFERROR(_xlfn.IFS(I114="/påbörjad h",H114*K114,I114="/tillfälle",H114,I114="/pers/påbörjad h",E114*H114*K114,I114="/pers",E114*H114,I114="/instruktör",E114*H114,I114="/instruktör/påbörjad h",E114*H114*K114,I114="/st",E114*H114,I114="/bord",E114*H114,I114="",0),0)</f>
        <v>0</v>
      </c>
    </row>
    <row r="115" spans="1:12" ht="19.649999999999999" hidden="1" customHeight="1" x14ac:dyDescent="0.25">
      <c r="A115" s="75" t="str">
        <f>IF(Sammanställning!$F77&lt;&gt;"",Sammanställning!A77,"")</f>
        <v/>
      </c>
      <c r="B115" s="76" t="str">
        <f>IF(Sammanställning!$F77&lt;&gt;"",Sammanställning!B77,"")</f>
        <v/>
      </c>
      <c r="C115" s="77" t="str">
        <f>IF(Sammanställning!$F77&lt;&gt;"",Sammanställning!C77,"")</f>
        <v/>
      </c>
      <c r="D115" s="78" t="str">
        <f>IF(Sammanställning!$F77&lt;&gt;"",Sammanställning!D77,"")</f>
        <v/>
      </c>
      <c r="E115" s="79" t="str">
        <f>IF(Sammanställning!$F77&lt;&gt;"",Sammanställning!E77,"")</f>
        <v/>
      </c>
      <c r="F115" s="72" t="str">
        <f>IF(Sammanställning!$F77&lt;&gt;"",Sammanställning!K77,"")</f>
        <v/>
      </c>
      <c r="G115" s="80" t="str">
        <f>IF(Sammanställning!$F77&lt;&gt;"",Sammanställning!G77,"")</f>
        <v/>
      </c>
      <c r="H115" s="97" t="str">
        <f>IF(Sammanställning!$F77&lt;&gt;"",Sammanställning!H77,"")</f>
        <v/>
      </c>
      <c r="I115" s="99" t="str">
        <f>IF(Sammanställning!$F77&lt;&gt;"",Sammanställning!I77,"")</f>
        <v/>
      </c>
      <c r="J115" s="101">
        <f t="shared" si="5"/>
        <v>0</v>
      </c>
      <c r="K115" s="103">
        <f t="shared" si="4"/>
        <v>0</v>
      </c>
      <c r="L115" s="81" cm="1">
        <f t="array" ref="L115">IFERROR(_xlfn.IFS(I115="/påbörjad h",H115*K115,I115="/tillfälle",H115,I115="/pers/påbörjad h",E115*H115*K115,I115="/pers",E115*H115,I115="/instruktör",E115*H115,I115="/instruktör/påbörjad h",E115*H115*K115,I115="/st",E115*H115,I115="/bord",E115*H115,I115="",0),0)</f>
        <v>0</v>
      </c>
    </row>
    <row r="116" spans="1:12" ht="19.649999999999999" hidden="1" customHeight="1" x14ac:dyDescent="0.25">
      <c r="A116" s="75" t="str">
        <f>IF(Sammanställning!$F78&lt;&gt;"",Sammanställning!A78,"")</f>
        <v/>
      </c>
      <c r="B116" s="76" t="str">
        <f>IF(Sammanställning!$F78&lt;&gt;"",Sammanställning!B78,"")</f>
        <v/>
      </c>
      <c r="C116" s="77" t="str">
        <f>IF(Sammanställning!$F78&lt;&gt;"",Sammanställning!C78,"")</f>
        <v/>
      </c>
      <c r="D116" s="78" t="str">
        <f>IF(Sammanställning!$F78&lt;&gt;"",Sammanställning!D78,"")</f>
        <v/>
      </c>
      <c r="E116" s="79" t="str">
        <f>IF(Sammanställning!$F78&lt;&gt;"",Sammanställning!E78,"")</f>
        <v/>
      </c>
      <c r="F116" s="72" t="str">
        <f>IF(Sammanställning!$F78&lt;&gt;"",Sammanställning!K78,"")</f>
        <v/>
      </c>
      <c r="G116" s="80" t="str">
        <f>IF(Sammanställning!$F78&lt;&gt;"",Sammanställning!G78,"")</f>
        <v/>
      </c>
      <c r="H116" s="97" t="str">
        <f>IF(Sammanställning!$F78&lt;&gt;"",Sammanställning!H78,"")</f>
        <v/>
      </c>
      <c r="I116" s="99" t="str">
        <f>IF(Sammanställning!$F78&lt;&gt;"",Sammanställning!I78,"")</f>
        <v/>
      </c>
      <c r="J116" s="101">
        <f t="shared" si="5"/>
        <v>0</v>
      </c>
      <c r="K116" s="103">
        <f t="shared" si="4"/>
        <v>0</v>
      </c>
      <c r="L116" s="81" cm="1">
        <f t="array" ref="L116">IFERROR(_xlfn.IFS(I116="/påbörjad h",H116*K116,I116="/tillfälle",H116,I116="/pers/påbörjad h",E116*H116*K116,I116="/pers",E116*H116,I116="/instruktör",E116*H116,I116="/instruktör/påbörjad h",E116*H116*K116,I116="/st",E116*H116,I116="/bord",E116*H116,I116="",0),0)</f>
        <v>0</v>
      </c>
    </row>
    <row r="117" spans="1:12" ht="19.649999999999999" hidden="1" customHeight="1" x14ac:dyDescent="0.25">
      <c r="A117" s="75" t="str">
        <f>IF(Sammanställning!$F79&lt;&gt;"",Sammanställning!A79,"")</f>
        <v/>
      </c>
      <c r="B117" s="76" t="str">
        <f>IF(Sammanställning!$F79&lt;&gt;"",Sammanställning!B79,"")</f>
        <v/>
      </c>
      <c r="C117" s="77" t="str">
        <f>IF(Sammanställning!$F79&lt;&gt;"",Sammanställning!C79,"")</f>
        <v/>
      </c>
      <c r="D117" s="78" t="str">
        <f>IF(Sammanställning!$F79&lt;&gt;"",Sammanställning!D79,"")</f>
        <v/>
      </c>
      <c r="E117" s="79" t="str">
        <f>IF(Sammanställning!$F79&lt;&gt;"",Sammanställning!E79,"")</f>
        <v/>
      </c>
      <c r="F117" s="72" t="str">
        <f>IF(Sammanställning!$F79&lt;&gt;"",Sammanställning!K79,"")</f>
        <v/>
      </c>
      <c r="G117" s="80" t="str">
        <f>IF(Sammanställning!$F79&lt;&gt;"",Sammanställning!G79,"")</f>
        <v/>
      </c>
      <c r="H117" s="97" t="str">
        <f>IF(Sammanställning!$F79&lt;&gt;"",Sammanställning!H79,"")</f>
        <v/>
      </c>
      <c r="I117" s="99" t="str">
        <f>IF(Sammanställning!$F79&lt;&gt;"",Sammanställning!I79,"")</f>
        <v/>
      </c>
      <c r="J117" s="101">
        <f t="shared" si="5"/>
        <v>0</v>
      </c>
      <c r="K117" s="103">
        <f t="shared" si="4"/>
        <v>0</v>
      </c>
      <c r="L117" s="81" cm="1">
        <f t="array" ref="L117">IFERROR(_xlfn.IFS(I117="/påbörjad h",H117*K117,I117="/tillfälle",H117,I117="/pers/påbörjad h",E117*H117*K117,I117="/pers",E117*H117,I117="/instruktör",E117*H117,I117="/instruktör/påbörjad h",E117*H117*K117,I117="/st",E117*H117,I117="/bord",E117*H117,I117="",0),0)</f>
        <v>0</v>
      </c>
    </row>
    <row r="118" spans="1:12" ht="19.649999999999999" hidden="1" customHeight="1" x14ac:dyDescent="0.25">
      <c r="A118" s="75" t="str">
        <f>IF(Sammanställning!$F80&lt;&gt;"",Sammanställning!A80,"")</f>
        <v/>
      </c>
      <c r="B118" s="76" t="str">
        <f>IF(Sammanställning!$F80&lt;&gt;"",Sammanställning!B80,"")</f>
        <v/>
      </c>
      <c r="C118" s="77" t="str">
        <f>IF(Sammanställning!$F80&lt;&gt;"",Sammanställning!C80,"")</f>
        <v/>
      </c>
      <c r="D118" s="78" t="str">
        <f>IF(Sammanställning!$F80&lt;&gt;"",Sammanställning!D80,"")</f>
        <v/>
      </c>
      <c r="E118" s="79" t="str">
        <f>IF(Sammanställning!$F80&lt;&gt;"",Sammanställning!E80,"")</f>
        <v/>
      </c>
      <c r="F118" s="72" t="str">
        <f>IF(Sammanställning!$F80&lt;&gt;"",Sammanställning!K80,"")</f>
        <v/>
      </c>
      <c r="G118" s="80" t="str">
        <f>IF(Sammanställning!$F80&lt;&gt;"",Sammanställning!G80,"")</f>
        <v/>
      </c>
      <c r="H118" s="97" t="str">
        <f>IF(Sammanställning!$F80&lt;&gt;"",Sammanställning!H80,"")</f>
        <v/>
      </c>
      <c r="I118" s="99" t="str">
        <f>IF(Sammanställning!$F80&lt;&gt;"",Sammanställning!I80,"")</f>
        <v/>
      </c>
      <c r="J118" s="101">
        <f t="shared" si="5"/>
        <v>0</v>
      </c>
      <c r="K118" s="103">
        <f t="shared" si="4"/>
        <v>0</v>
      </c>
      <c r="L118" s="81" cm="1">
        <f t="array" ref="L118">IFERROR(_xlfn.IFS(I118="/påbörjad h",H118*K118,I118="/tillfälle",H118,I118="/pers/påbörjad h",E118*H118*K118,I118="/pers",E118*H118,I118="/instruktör",E118*H118,I118="/instruktör/påbörjad h",E118*H118*K118,I118="/st",E118*H118,I118="/bord",E118*H118,I118="",0),0)</f>
        <v>0</v>
      </c>
    </row>
    <row r="119" spans="1:12" ht="19.649999999999999" hidden="1" customHeight="1" x14ac:dyDescent="0.25">
      <c r="A119" s="75" t="str">
        <f>IF(Sammanställning!$F81&lt;&gt;"",Sammanställning!A81,"")</f>
        <v/>
      </c>
      <c r="B119" s="76" t="str">
        <f>IF(Sammanställning!$F81&lt;&gt;"",Sammanställning!B81,"")</f>
        <v/>
      </c>
      <c r="C119" s="77" t="str">
        <f>IF(Sammanställning!$F81&lt;&gt;"",Sammanställning!C81,"")</f>
        <v/>
      </c>
      <c r="D119" s="78" t="str">
        <f>IF(Sammanställning!$F81&lt;&gt;"",Sammanställning!D81,"")</f>
        <v/>
      </c>
      <c r="E119" s="79" t="str">
        <f>IF(Sammanställning!$F81&lt;&gt;"",Sammanställning!E81,"")</f>
        <v/>
      </c>
      <c r="F119" s="72" t="str">
        <f>IF(Sammanställning!$F81&lt;&gt;"",Sammanställning!K81,"")</f>
        <v/>
      </c>
      <c r="G119" s="80" t="str">
        <f>IF(Sammanställning!$F81&lt;&gt;"",Sammanställning!G81,"")</f>
        <v/>
      </c>
      <c r="H119" s="97" t="str">
        <f>IF(Sammanställning!$F81&lt;&gt;"",Sammanställning!H81,"")</f>
        <v/>
      </c>
      <c r="I119" s="99" t="str">
        <f>IF(Sammanställning!$F81&lt;&gt;"",Sammanställning!I81,"")</f>
        <v/>
      </c>
      <c r="J119" s="101">
        <f t="shared" si="5"/>
        <v>0</v>
      </c>
      <c r="K119" s="103">
        <f t="shared" si="4"/>
        <v>0</v>
      </c>
      <c r="L119" s="81" cm="1">
        <f t="array" ref="L119">IFERROR(_xlfn.IFS(I119="/påbörjad h",H119*K119,I119="/tillfälle",H119,I119="/pers/påbörjad h",E119*H119*K119,I119="/pers",E119*H119,I119="/instruktör",E119*H119,I119="/instruktör/påbörjad h",E119*H119*K119,I119="/st",E119*H119,I119="/bord",E119*H119,I119="",0),0)</f>
        <v>0</v>
      </c>
    </row>
    <row r="120" spans="1:12" ht="19.649999999999999" hidden="1" customHeight="1" x14ac:dyDescent="0.25">
      <c r="A120" s="75" t="str">
        <f>IF(Sammanställning!$F82&lt;&gt;"",Sammanställning!A82,"")</f>
        <v/>
      </c>
      <c r="B120" s="76" t="str">
        <f>IF(Sammanställning!$F82&lt;&gt;"",Sammanställning!B82,"")</f>
        <v/>
      </c>
      <c r="C120" s="77" t="str">
        <f>IF(Sammanställning!$F82&lt;&gt;"",Sammanställning!C82,"")</f>
        <v/>
      </c>
      <c r="D120" s="78" t="str">
        <f>IF(Sammanställning!$F82&lt;&gt;"",Sammanställning!D82,"")</f>
        <v/>
      </c>
      <c r="E120" s="79" t="str">
        <f>IF(Sammanställning!$F82&lt;&gt;"",Sammanställning!E82,"")</f>
        <v/>
      </c>
      <c r="F120" s="72" t="str">
        <f>IF(Sammanställning!$F82&lt;&gt;"",Sammanställning!K82,"")</f>
        <v/>
      </c>
      <c r="G120" s="80" t="str">
        <f>IF(Sammanställning!$F82&lt;&gt;"",Sammanställning!G82,"")</f>
        <v/>
      </c>
      <c r="H120" s="97" t="str">
        <f>IF(Sammanställning!$F82&lt;&gt;"",Sammanställning!H82,"")</f>
        <v/>
      </c>
      <c r="I120" s="99" t="str">
        <f>IF(Sammanställning!$F82&lt;&gt;"",Sammanställning!I82,"")</f>
        <v/>
      </c>
      <c r="J120" s="101">
        <f t="shared" si="5"/>
        <v>0</v>
      </c>
      <c r="K120" s="103">
        <f t="shared" si="4"/>
        <v>0</v>
      </c>
      <c r="L120" s="81" cm="1">
        <f t="array" ref="L120">IFERROR(_xlfn.IFS(I120="/påbörjad h",H120*K120,I120="/tillfälle",H120,I120="/pers/påbörjad h",E120*H120*K120,I120="/pers",E120*H120,I120="/instruktör",E120*H120,I120="/instruktör/påbörjad h",E120*H120*K120,I120="/st",E120*H120,I120="/bord",E120*H120,I120="",0),0)</f>
        <v>0</v>
      </c>
    </row>
    <row r="121" spans="1:12" ht="19.649999999999999" hidden="1" customHeight="1" x14ac:dyDescent="0.25">
      <c r="A121" s="75" t="str">
        <f>IF(Sammanställning!$F83&lt;&gt;"",Sammanställning!A83,"")</f>
        <v/>
      </c>
      <c r="B121" s="76" t="str">
        <f>IF(Sammanställning!$F83&lt;&gt;"",Sammanställning!B83,"")</f>
        <v/>
      </c>
      <c r="C121" s="77" t="str">
        <f>IF(Sammanställning!$F83&lt;&gt;"",Sammanställning!C83,"")</f>
        <v/>
      </c>
      <c r="D121" s="78" t="str">
        <f>IF(Sammanställning!$F83&lt;&gt;"",Sammanställning!D83,"")</f>
        <v/>
      </c>
      <c r="E121" s="79" t="str">
        <f>IF(Sammanställning!$F83&lt;&gt;"",Sammanställning!E83,"")</f>
        <v/>
      </c>
      <c r="F121" s="72" t="str">
        <f>IF(Sammanställning!$F83&lt;&gt;"",Sammanställning!K83,"")</f>
        <v/>
      </c>
      <c r="G121" s="80" t="str">
        <f>IF(Sammanställning!$F83&lt;&gt;"",Sammanställning!G83,"")</f>
        <v/>
      </c>
      <c r="H121" s="97" t="str">
        <f>IF(Sammanställning!$F83&lt;&gt;"",Sammanställning!H83,"")</f>
        <v/>
      </c>
      <c r="I121" s="99" t="str">
        <f>IF(Sammanställning!$F83&lt;&gt;"",Sammanställning!I83,"")</f>
        <v/>
      </c>
      <c r="J121" s="101">
        <f t="shared" si="5"/>
        <v>0</v>
      </c>
      <c r="K121" s="103">
        <f t="shared" si="4"/>
        <v>0</v>
      </c>
      <c r="L121" s="81" cm="1">
        <f t="array" ref="L121">IFERROR(_xlfn.IFS(I121="/påbörjad h",H121*K121,I121="/tillfälle",H121,I121="/pers/påbörjad h",E121*H121*K121,I121="/pers",E121*H121,I121="/instruktör",E121*H121,I121="/instruktör/påbörjad h",E121*H121*K121,I121="/st",E121*H121,I121="/bord",E121*H121,I121="",0),0)</f>
        <v>0</v>
      </c>
    </row>
    <row r="122" spans="1:12" ht="19.649999999999999" hidden="1" customHeight="1" x14ac:dyDescent="0.25">
      <c r="A122" s="75" t="str">
        <f>IF(Sammanställning!$F84&lt;&gt;"",Sammanställning!A84,"")</f>
        <v/>
      </c>
      <c r="B122" s="76" t="str">
        <f>IF(Sammanställning!$F84&lt;&gt;"",Sammanställning!B84,"")</f>
        <v/>
      </c>
      <c r="C122" s="77" t="str">
        <f>IF(Sammanställning!$F84&lt;&gt;"",Sammanställning!C84,"")</f>
        <v/>
      </c>
      <c r="D122" s="78" t="str">
        <f>IF(Sammanställning!$F84&lt;&gt;"",Sammanställning!D84,"")</f>
        <v/>
      </c>
      <c r="E122" s="79" t="str">
        <f>IF(Sammanställning!$F84&lt;&gt;"",Sammanställning!E84,"")</f>
        <v/>
      </c>
      <c r="F122" s="72" t="str">
        <f>IF(Sammanställning!$F84&lt;&gt;"",Sammanställning!K84,"")</f>
        <v/>
      </c>
      <c r="G122" s="80" t="str">
        <f>IF(Sammanställning!$F84&lt;&gt;"",Sammanställning!G84,"")</f>
        <v/>
      </c>
      <c r="H122" s="97" t="str">
        <f>IF(Sammanställning!$F84&lt;&gt;"",Sammanställning!H84,"")</f>
        <v/>
      </c>
      <c r="I122" s="99" t="str">
        <f>IF(Sammanställning!$F84&lt;&gt;"",Sammanställning!I84,"")</f>
        <v/>
      </c>
      <c r="J122" s="101">
        <f t="shared" si="5"/>
        <v>0</v>
      </c>
      <c r="K122" s="103">
        <f t="shared" si="4"/>
        <v>0</v>
      </c>
      <c r="L122" s="81" cm="1">
        <f t="array" ref="L122">IFERROR(_xlfn.IFS(I122="/påbörjad h",H122*K122,I122="/tillfälle",H122,I122="/pers/påbörjad h",E122*H122*K122,I122="/pers",E122*H122,I122="/instruktör",E122*H122,I122="/instruktör/påbörjad h",E122*H122*K122,I122="/st",E122*H122,I122="/bord",E122*H122,I122="",0),0)</f>
        <v>0</v>
      </c>
    </row>
    <row r="123" spans="1:12" ht="19.649999999999999" hidden="1" customHeight="1" x14ac:dyDescent="0.25">
      <c r="A123" s="75" t="str">
        <f>IF(Sammanställning!$F85&lt;&gt;"",Sammanställning!A85,"")</f>
        <v/>
      </c>
      <c r="B123" s="76" t="str">
        <f>IF(Sammanställning!$F85&lt;&gt;"",Sammanställning!B85,"")</f>
        <v/>
      </c>
      <c r="C123" s="77" t="str">
        <f>IF(Sammanställning!$F85&lt;&gt;"",Sammanställning!C85,"")</f>
        <v/>
      </c>
      <c r="D123" s="78" t="str">
        <f>IF(Sammanställning!$F85&lt;&gt;"",Sammanställning!D85,"")</f>
        <v/>
      </c>
      <c r="E123" s="79" t="str">
        <f>IF(Sammanställning!$F85&lt;&gt;"",Sammanställning!E85,"")</f>
        <v/>
      </c>
      <c r="F123" s="72" t="str">
        <f>IF(Sammanställning!$F85&lt;&gt;"",Sammanställning!K85,"")</f>
        <v/>
      </c>
      <c r="G123" s="80" t="str">
        <f>IF(Sammanställning!$F85&lt;&gt;"",Sammanställning!G85,"")</f>
        <v/>
      </c>
      <c r="H123" s="97" t="str">
        <f>IF(Sammanställning!$F85&lt;&gt;"",Sammanställning!H85,"")</f>
        <v/>
      </c>
      <c r="I123" s="99" t="str">
        <f>IF(Sammanställning!$F85&lt;&gt;"",Sammanställning!I85,"")</f>
        <v/>
      </c>
      <c r="J123" s="101">
        <f t="shared" si="5"/>
        <v>0</v>
      </c>
      <c r="K123" s="103">
        <f t="shared" si="4"/>
        <v>0</v>
      </c>
      <c r="L123" s="81" cm="1">
        <f t="array" ref="L123">IFERROR(_xlfn.IFS(I123="/påbörjad h",H123*K123,I123="/tillfälle",H123,I123="/pers/påbörjad h",E123*H123*K123,I123="/pers",E123*H123,I123="/instruktör",E123*H123,I123="/instruktör/påbörjad h",E123*H123*K123,I123="/st",E123*H123,I123="/bord",E123*H123,I123="",0),0)</f>
        <v>0</v>
      </c>
    </row>
    <row r="124" spans="1:12" ht="19.649999999999999" hidden="1" customHeight="1" x14ac:dyDescent="0.25">
      <c r="A124" s="75" t="str">
        <f>IF(Sammanställning!$F86&lt;&gt;"",Sammanställning!A86,"")</f>
        <v/>
      </c>
      <c r="B124" s="76" t="str">
        <f>IF(Sammanställning!$F86&lt;&gt;"",Sammanställning!B86,"")</f>
        <v/>
      </c>
      <c r="C124" s="77" t="str">
        <f>IF(Sammanställning!$F86&lt;&gt;"",Sammanställning!C86,"")</f>
        <v/>
      </c>
      <c r="D124" s="78" t="str">
        <f>IF(Sammanställning!$F86&lt;&gt;"",Sammanställning!D86,"")</f>
        <v/>
      </c>
      <c r="E124" s="79" t="str">
        <f>IF(Sammanställning!$F86&lt;&gt;"",Sammanställning!E86,"")</f>
        <v/>
      </c>
      <c r="F124" s="72" t="str">
        <f>IF(Sammanställning!$F86&lt;&gt;"",Sammanställning!K86,"")</f>
        <v/>
      </c>
      <c r="G124" s="80" t="str">
        <f>IF(Sammanställning!$F86&lt;&gt;"",Sammanställning!G86,"")</f>
        <v/>
      </c>
      <c r="H124" s="97" t="str">
        <f>IF(Sammanställning!$F86&lt;&gt;"",Sammanställning!H86,"")</f>
        <v/>
      </c>
      <c r="I124" s="99" t="str">
        <f>IF(Sammanställning!$F86&lt;&gt;"",Sammanställning!I86,"")</f>
        <v/>
      </c>
      <c r="J124" s="101">
        <f t="shared" si="5"/>
        <v>0</v>
      </c>
      <c r="K124" s="103">
        <f t="shared" si="4"/>
        <v>0</v>
      </c>
      <c r="L124" s="81" cm="1">
        <f t="array" ref="L124">IFERROR(_xlfn.IFS(I124="/påbörjad h",H124*K124,I124="/tillfälle",H124,I124="/pers/påbörjad h",E124*H124*K124,I124="/pers",E124*H124,I124="/instruktör",E124*H124,I124="/instruktör/påbörjad h",E124*H124*K124,I124="/st",E124*H124,I124="/bord",E124*H124,I124="",0),0)</f>
        <v>0</v>
      </c>
    </row>
    <row r="125" spans="1:12" ht="19.649999999999999" hidden="1" customHeight="1" x14ac:dyDescent="0.25">
      <c r="A125" s="75" t="str">
        <f>IF(Sammanställning!$F87&lt;&gt;"",Sammanställning!A87,"")</f>
        <v/>
      </c>
      <c r="B125" s="76" t="str">
        <f>IF(Sammanställning!$F87&lt;&gt;"",Sammanställning!B87,"")</f>
        <v/>
      </c>
      <c r="C125" s="77" t="str">
        <f>IF(Sammanställning!$F87&lt;&gt;"",Sammanställning!C87,"")</f>
        <v/>
      </c>
      <c r="D125" s="78" t="str">
        <f>IF(Sammanställning!$F87&lt;&gt;"",Sammanställning!D87,"")</f>
        <v/>
      </c>
      <c r="E125" s="79" t="str">
        <f>IF(Sammanställning!$F87&lt;&gt;"",Sammanställning!E87,"")</f>
        <v/>
      </c>
      <c r="F125" s="72" t="str">
        <f>IF(Sammanställning!$F87&lt;&gt;"",Sammanställning!K87,"")</f>
        <v/>
      </c>
      <c r="G125" s="80" t="str">
        <f>IF(Sammanställning!$F87&lt;&gt;"",Sammanställning!G87,"")</f>
        <v/>
      </c>
      <c r="H125" s="97" t="str">
        <f>IF(Sammanställning!$F87&lt;&gt;"",Sammanställning!H87,"")</f>
        <v/>
      </c>
      <c r="I125" s="99" t="str">
        <f>IF(Sammanställning!$F87&lt;&gt;"",Sammanställning!I87,"")</f>
        <v/>
      </c>
      <c r="J125" s="101">
        <f t="shared" si="5"/>
        <v>0</v>
      </c>
      <c r="K125" s="103">
        <f t="shared" si="4"/>
        <v>0</v>
      </c>
      <c r="L125" s="81" cm="1">
        <f t="array" ref="L125">IFERROR(_xlfn.IFS(I125="/påbörjad h",H125*K125,I125="/tillfälle",H125,I125="/pers/påbörjad h",E125*H125*K125,I125="/pers",E125*H125,I125="/instruktör",E125*H125,I125="/instruktör/påbörjad h",E125*H125*K125,I125="/st",E125*H125,I125="/bord",E125*H125,I125="",0),0)</f>
        <v>0</v>
      </c>
    </row>
    <row r="126" spans="1:12" ht="19.649999999999999" hidden="1" customHeight="1" x14ac:dyDescent="0.25">
      <c r="A126" s="75" t="str">
        <f>IF(Sammanställning!$F88&lt;&gt;"",Sammanställning!A88,"")</f>
        <v/>
      </c>
      <c r="B126" s="76" t="str">
        <f>IF(Sammanställning!$F88&lt;&gt;"",Sammanställning!B88,"")</f>
        <v/>
      </c>
      <c r="C126" s="77" t="str">
        <f>IF(Sammanställning!$F88&lt;&gt;"",Sammanställning!C88,"")</f>
        <v/>
      </c>
      <c r="D126" s="78" t="str">
        <f>IF(Sammanställning!$F88&lt;&gt;"",Sammanställning!D88,"")</f>
        <v/>
      </c>
      <c r="E126" s="79" t="str">
        <f>IF(Sammanställning!$F88&lt;&gt;"",Sammanställning!E88,"")</f>
        <v/>
      </c>
      <c r="F126" s="72" t="str">
        <f>IF(Sammanställning!$F88&lt;&gt;"",Sammanställning!K88,"")</f>
        <v/>
      </c>
      <c r="G126" s="80" t="str">
        <f>IF(Sammanställning!$F88&lt;&gt;"",Sammanställning!G88,"")</f>
        <v/>
      </c>
      <c r="H126" s="97" t="str">
        <f>IF(Sammanställning!$F88&lt;&gt;"",Sammanställning!H88,"")</f>
        <v/>
      </c>
      <c r="I126" s="99" t="str">
        <f>IF(Sammanställning!$F88&lt;&gt;"",Sammanställning!I88,"")</f>
        <v/>
      </c>
      <c r="J126" s="101">
        <f t="shared" si="5"/>
        <v>0</v>
      </c>
      <c r="K126" s="103">
        <f t="shared" si="4"/>
        <v>0</v>
      </c>
      <c r="L126" s="81" cm="1">
        <f t="array" ref="L126">IFERROR(_xlfn.IFS(I126="/påbörjad h",H126*K126,I126="/tillfälle",H126,I126="/pers/påbörjad h",E126*H126*K126,I126="/pers",E126*H126,I126="/instruktör",E126*H126,I126="/instruktör/påbörjad h",E126*H126*K126,I126="/st",E126*H126,I126="/bord",E126*H126,I126="",0),0)</f>
        <v>0</v>
      </c>
    </row>
    <row r="127" spans="1:12" ht="19.649999999999999" hidden="1" customHeight="1" x14ac:dyDescent="0.25">
      <c r="A127" s="75" t="str">
        <f>IF(Sammanställning!$F89&lt;&gt;"",Sammanställning!A89,"")</f>
        <v/>
      </c>
      <c r="B127" s="76" t="str">
        <f>IF(Sammanställning!$F89&lt;&gt;"",Sammanställning!B89,"")</f>
        <v/>
      </c>
      <c r="C127" s="77" t="str">
        <f>IF(Sammanställning!$F89&lt;&gt;"",Sammanställning!C89,"")</f>
        <v/>
      </c>
      <c r="D127" s="78" t="str">
        <f>IF(Sammanställning!$F89&lt;&gt;"",Sammanställning!D89,"")</f>
        <v/>
      </c>
      <c r="E127" s="79" t="str">
        <f>IF(Sammanställning!$F89&lt;&gt;"",Sammanställning!E89,"")</f>
        <v/>
      </c>
      <c r="F127" s="72" t="str">
        <f>IF(Sammanställning!$F89&lt;&gt;"",Sammanställning!K89,"")</f>
        <v/>
      </c>
      <c r="G127" s="80" t="str">
        <f>IF(Sammanställning!$F89&lt;&gt;"",Sammanställning!G89,"")</f>
        <v/>
      </c>
      <c r="H127" s="97" t="str">
        <f>IF(Sammanställning!$F89&lt;&gt;"",Sammanställning!H89,"")</f>
        <v/>
      </c>
      <c r="I127" s="99" t="str">
        <f>IF(Sammanställning!$F89&lt;&gt;"",Sammanställning!I89,"")</f>
        <v/>
      </c>
      <c r="J127" s="101">
        <f t="shared" si="5"/>
        <v>0</v>
      </c>
      <c r="K127" s="103">
        <f t="shared" si="4"/>
        <v>0</v>
      </c>
      <c r="L127" s="81" cm="1">
        <f t="array" ref="L127">IFERROR(_xlfn.IFS(I127="/påbörjad h",H127*K127,I127="/tillfälle",H127,I127="/pers/påbörjad h",E127*H127*K127,I127="/pers",E127*H127,I127="/instruktör",E127*H127,I127="/instruktör/påbörjad h",E127*H127*K127,I127="/st",E127*H127,I127="/bord",E127*H127,I127="",0),0)</f>
        <v>0</v>
      </c>
    </row>
    <row r="128" spans="1:12" ht="19.649999999999999" hidden="1" customHeight="1" x14ac:dyDescent="0.25">
      <c r="A128" s="75" t="str">
        <f>IF(Sammanställning!$F90&lt;&gt;"",Sammanställning!A90,"")</f>
        <v/>
      </c>
      <c r="B128" s="76" t="str">
        <f>IF(Sammanställning!$F90&lt;&gt;"",Sammanställning!B90,"")</f>
        <v/>
      </c>
      <c r="C128" s="77" t="str">
        <f>IF(Sammanställning!$F90&lt;&gt;"",Sammanställning!C90,"")</f>
        <v/>
      </c>
      <c r="D128" s="78" t="str">
        <f>IF(Sammanställning!$F90&lt;&gt;"",Sammanställning!D90,"")</f>
        <v/>
      </c>
      <c r="E128" s="79" t="str">
        <f>IF(Sammanställning!$F90&lt;&gt;"",Sammanställning!E90,"")</f>
        <v/>
      </c>
      <c r="F128" s="72" t="str">
        <f>IF(Sammanställning!$F90&lt;&gt;"",Sammanställning!K90,"")</f>
        <v/>
      </c>
      <c r="G128" s="80" t="str">
        <f>IF(Sammanställning!$F90&lt;&gt;"",Sammanställning!G90,"")</f>
        <v/>
      </c>
      <c r="H128" s="97" t="str">
        <f>IF(Sammanställning!$F90&lt;&gt;"",Sammanställning!H90,"")</f>
        <v/>
      </c>
      <c r="I128" s="99" t="str">
        <f>IF(Sammanställning!$F90&lt;&gt;"",Sammanställning!I90,"")</f>
        <v/>
      </c>
      <c r="J128" s="101">
        <f t="shared" si="5"/>
        <v>0</v>
      </c>
      <c r="K128" s="103">
        <f t="shared" si="4"/>
        <v>0</v>
      </c>
      <c r="L128" s="81" cm="1">
        <f t="array" ref="L128">IFERROR(_xlfn.IFS(I128="/påbörjad h",H128*K128,I128="/tillfälle",H128,I128="/pers/påbörjad h",E128*H128*K128,I128="/pers",E128*H128,I128="/instruktör",E128*H128,I128="/instruktör/påbörjad h",E128*H128*K128,I128="/st",E128*H128,I128="/bord",E128*H128,I128="",0),0)</f>
        <v>0</v>
      </c>
    </row>
    <row r="129" spans="1:12" ht="19.649999999999999" hidden="1" customHeight="1" x14ac:dyDescent="0.25">
      <c r="A129" s="75" t="str">
        <f>IF(Sammanställning!$F91&lt;&gt;"",Sammanställning!A91,"")</f>
        <v/>
      </c>
      <c r="B129" s="76" t="str">
        <f>IF(Sammanställning!$F91&lt;&gt;"",Sammanställning!B91,"")</f>
        <v/>
      </c>
      <c r="C129" s="77" t="str">
        <f>IF(Sammanställning!$F91&lt;&gt;"",Sammanställning!C91,"")</f>
        <v/>
      </c>
      <c r="D129" s="78" t="str">
        <f>IF(Sammanställning!$F91&lt;&gt;"",Sammanställning!D91,"")</f>
        <v/>
      </c>
      <c r="E129" s="79" t="str">
        <f>IF(Sammanställning!$F91&lt;&gt;"",Sammanställning!E91,"")</f>
        <v/>
      </c>
      <c r="F129" s="72" t="str">
        <f>IF(Sammanställning!$F91&lt;&gt;"",Sammanställning!K91,"")</f>
        <v/>
      </c>
      <c r="G129" s="80" t="str">
        <f>IF(Sammanställning!$F91&lt;&gt;"",Sammanställning!G91,"")</f>
        <v/>
      </c>
      <c r="H129" s="97" t="str">
        <f>IF(Sammanställning!$F91&lt;&gt;"",Sammanställning!H91,"")</f>
        <v/>
      </c>
      <c r="I129" s="99" t="str">
        <f>IF(Sammanställning!$F91&lt;&gt;"",Sammanställning!I91,"")</f>
        <v/>
      </c>
      <c r="J129" s="101">
        <f t="shared" si="5"/>
        <v>0</v>
      </c>
      <c r="K129" s="103">
        <f t="shared" si="4"/>
        <v>0</v>
      </c>
      <c r="L129" s="81" cm="1">
        <f t="array" ref="L129">IFERROR(_xlfn.IFS(I129="/påbörjad h",H129*K129,I129="/tillfälle",H129,I129="/pers/påbörjad h",E129*H129*K129,I129="/pers",E129*H129,I129="/instruktör",E129*H129,I129="/instruktör/påbörjad h",E129*H129*K129,I129="/st",E129*H129,I129="/bord",E129*H129,I129="",0),0)</f>
        <v>0</v>
      </c>
    </row>
    <row r="130" spans="1:12" ht="19.649999999999999" hidden="1" customHeight="1" x14ac:dyDescent="0.25">
      <c r="A130" s="75" t="str">
        <f>IF(Sammanställning!$F92&lt;&gt;"",Sammanställning!A92,"")</f>
        <v/>
      </c>
      <c r="B130" s="76" t="str">
        <f>IF(Sammanställning!$F92&lt;&gt;"",Sammanställning!B92,"")</f>
        <v/>
      </c>
      <c r="C130" s="77" t="str">
        <f>IF(Sammanställning!$F92&lt;&gt;"",Sammanställning!C92,"")</f>
        <v/>
      </c>
      <c r="D130" s="78" t="str">
        <f>IF(Sammanställning!$F92&lt;&gt;"",Sammanställning!D92,"")</f>
        <v/>
      </c>
      <c r="E130" s="79" t="str">
        <f>IF(Sammanställning!$F92&lt;&gt;"",Sammanställning!E92,"")</f>
        <v/>
      </c>
      <c r="F130" s="72" t="str">
        <f>IF(Sammanställning!$F92&lt;&gt;"",Sammanställning!K92,"")</f>
        <v/>
      </c>
      <c r="G130" s="80" t="str">
        <f>IF(Sammanställning!$F92&lt;&gt;"",Sammanställning!G92,"")</f>
        <v/>
      </c>
      <c r="H130" s="97" t="str">
        <f>IF(Sammanställning!$F92&lt;&gt;"",Sammanställning!H92,"")</f>
        <v/>
      </c>
      <c r="I130" s="99" t="str">
        <f>IF(Sammanställning!$F92&lt;&gt;"",Sammanställning!I92,"")</f>
        <v/>
      </c>
      <c r="J130" s="101">
        <f t="shared" si="5"/>
        <v>0</v>
      </c>
      <c r="K130" s="103">
        <f t="shared" si="4"/>
        <v>0</v>
      </c>
      <c r="L130" s="81" cm="1">
        <f t="array" ref="L130">IFERROR(_xlfn.IFS(I130="/påbörjad h",H130*K130,I130="/tillfälle",H130,I130="/pers/påbörjad h",E130*H130*K130,I130="/pers",E130*H130,I130="/instruktör",E130*H130,I130="/instruktör/påbörjad h",E130*H130*K130,I130="/st",E130*H130,I130="/bord",E130*H130,I130="",0),0)</f>
        <v>0</v>
      </c>
    </row>
    <row r="131" spans="1:12" ht="19.649999999999999" hidden="1" customHeight="1" x14ac:dyDescent="0.25">
      <c r="A131" s="75" t="str">
        <f>IF(Sammanställning!$F93&lt;&gt;"",Sammanställning!A93,"")</f>
        <v/>
      </c>
      <c r="B131" s="76" t="str">
        <f>IF(Sammanställning!$F93&lt;&gt;"",Sammanställning!B93,"")</f>
        <v/>
      </c>
      <c r="C131" s="77" t="str">
        <f>IF(Sammanställning!$F93&lt;&gt;"",Sammanställning!C93,"")</f>
        <v/>
      </c>
      <c r="D131" s="78" t="str">
        <f>IF(Sammanställning!$F93&lt;&gt;"",Sammanställning!D93,"")</f>
        <v/>
      </c>
      <c r="E131" s="79" t="str">
        <f>IF(Sammanställning!$F93&lt;&gt;"",Sammanställning!E93,"")</f>
        <v/>
      </c>
      <c r="F131" s="72" t="str">
        <f>IF(Sammanställning!$F93&lt;&gt;"",Sammanställning!K93,"")</f>
        <v/>
      </c>
      <c r="G131" s="80" t="str">
        <f>IF(Sammanställning!$F93&lt;&gt;"",Sammanställning!G93,"")</f>
        <v/>
      </c>
      <c r="H131" s="97" t="str">
        <f>IF(Sammanställning!$F93&lt;&gt;"",Sammanställning!H93,"")</f>
        <v/>
      </c>
      <c r="I131" s="99" t="str">
        <f>IF(Sammanställning!$F93&lt;&gt;"",Sammanställning!I93,"")</f>
        <v/>
      </c>
      <c r="J131" s="101">
        <f t="shared" si="5"/>
        <v>0</v>
      </c>
      <c r="K131" s="103">
        <f t="shared" si="4"/>
        <v>0</v>
      </c>
      <c r="L131" s="81" cm="1">
        <f t="array" ref="L131">IFERROR(_xlfn.IFS(I131="/påbörjad h",H131*K131,I131="/tillfälle",H131,I131="/pers/påbörjad h",E131*H131*K131,I131="/pers",E131*H131,I131="/instruktör",E131*H131,I131="/instruktör/påbörjad h",E131*H131*K131,I131="/st",E131*H131,I131="/bord",E131*H131,I131="",0),0)</f>
        <v>0</v>
      </c>
    </row>
    <row r="132" spans="1:12" ht="19.649999999999999" hidden="1" customHeight="1" x14ac:dyDescent="0.25">
      <c r="A132" s="75" t="str">
        <f>IF(Sammanställning!$F94&lt;&gt;"",Sammanställning!A94,"")</f>
        <v/>
      </c>
      <c r="B132" s="76" t="str">
        <f>IF(Sammanställning!$F94&lt;&gt;"",Sammanställning!B94,"")</f>
        <v/>
      </c>
      <c r="C132" s="77" t="str">
        <f>IF(Sammanställning!$F94&lt;&gt;"",Sammanställning!C94,"")</f>
        <v/>
      </c>
      <c r="D132" s="78" t="str">
        <f>IF(Sammanställning!$F94&lt;&gt;"",Sammanställning!D94,"")</f>
        <v/>
      </c>
      <c r="E132" s="79" t="str">
        <f>IF(Sammanställning!$F94&lt;&gt;"",Sammanställning!E94,"")</f>
        <v/>
      </c>
      <c r="F132" s="72" t="str">
        <f>IF(Sammanställning!$F94&lt;&gt;"",Sammanställning!K94,"")</f>
        <v/>
      </c>
      <c r="G132" s="80" t="str">
        <f>IF(Sammanställning!$F94&lt;&gt;"",Sammanställning!G94,"")</f>
        <v/>
      </c>
      <c r="H132" s="97" t="str">
        <f>IF(Sammanställning!$F94&lt;&gt;"",Sammanställning!H94,"")</f>
        <v/>
      </c>
      <c r="I132" s="99" t="str">
        <f>IF(Sammanställning!$F94&lt;&gt;"",Sammanställning!I94,"")</f>
        <v/>
      </c>
      <c r="J132" s="101">
        <f t="shared" si="5"/>
        <v>0</v>
      </c>
      <c r="K132" s="103">
        <f t="shared" si="4"/>
        <v>0</v>
      </c>
      <c r="L132" s="81" cm="1">
        <f t="array" ref="L132">IFERROR(_xlfn.IFS(I132="/påbörjad h",H132*K132,I132="/tillfälle",H132,I132="/pers/påbörjad h",E132*H132*K132,I132="/pers",E132*H132,I132="/instruktör",E132*H132,I132="/instruktör/påbörjad h",E132*H132*K132,I132="/st",E132*H132,I132="/bord",E132*H132,I132="",0),0)</f>
        <v>0</v>
      </c>
    </row>
    <row r="133" spans="1:12" ht="19.649999999999999" hidden="1" customHeight="1" x14ac:dyDescent="0.25">
      <c r="A133" s="75" t="str">
        <f>IF(Sammanställning!$F95&lt;&gt;"",Sammanställning!A95,"")</f>
        <v/>
      </c>
      <c r="B133" s="76" t="str">
        <f>IF(Sammanställning!$F95&lt;&gt;"",Sammanställning!B95,"")</f>
        <v/>
      </c>
      <c r="C133" s="77" t="str">
        <f>IF(Sammanställning!$F95&lt;&gt;"",Sammanställning!C95,"")</f>
        <v/>
      </c>
      <c r="D133" s="78" t="str">
        <f>IF(Sammanställning!$F95&lt;&gt;"",Sammanställning!D95,"")</f>
        <v/>
      </c>
      <c r="E133" s="79" t="str">
        <f>IF(Sammanställning!$F95&lt;&gt;"",Sammanställning!E95,"")</f>
        <v/>
      </c>
      <c r="F133" s="72" t="str">
        <f>IF(Sammanställning!$F95&lt;&gt;"",Sammanställning!K95,"")</f>
        <v/>
      </c>
      <c r="G133" s="80" t="str">
        <f>IF(Sammanställning!$F95&lt;&gt;"",Sammanställning!G95,"")</f>
        <v/>
      </c>
      <c r="H133" s="97" t="str">
        <f>IF(Sammanställning!$F95&lt;&gt;"",Sammanställning!H95,"")</f>
        <v/>
      </c>
      <c r="I133" s="99" t="str">
        <f>IF(Sammanställning!$F95&lt;&gt;"",Sammanställning!I95,"")</f>
        <v/>
      </c>
      <c r="J133" s="101">
        <f t="shared" si="5"/>
        <v>0</v>
      </c>
      <c r="K133" s="103">
        <f t="shared" si="4"/>
        <v>0</v>
      </c>
      <c r="L133" s="81" cm="1">
        <f t="array" ref="L133">IFERROR(_xlfn.IFS(I133="/påbörjad h",H133*K133,I133="/tillfälle",H133,I133="/pers/påbörjad h",E133*H133*K133,I133="/pers",E133*H133,I133="/instruktör",E133*H133,I133="/instruktör/påbörjad h",E133*H133*K133,I133="/st",E133*H133,I133="/bord",E133*H133,I133="",0),0)</f>
        <v>0</v>
      </c>
    </row>
    <row r="134" spans="1:12" ht="19.649999999999999" hidden="1" customHeight="1" x14ac:dyDescent="0.25">
      <c r="A134" s="75" t="str">
        <f>IF(Sammanställning!$F96&lt;&gt;"",Sammanställning!A96,"")</f>
        <v/>
      </c>
      <c r="B134" s="76" t="str">
        <f>IF(Sammanställning!$F96&lt;&gt;"",Sammanställning!B96,"")</f>
        <v/>
      </c>
      <c r="C134" s="77" t="str">
        <f>IF(Sammanställning!$F96&lt;&gt;"",Sammanställning!C96,"")</f>
        <v/>
      </c>
      <c r="D134" s="78" t="str">
        <f>IF(Sammanställning!$F96&lt;&gt;"",Sammanställning!D96,"")</f>
        <v/>
      </c>
      <c r="E134" s="79" t="str">
        <f>IF(Sammanställning!$F96&lt;&gt;"",Sammanställning!E96,"")</f>
        <v/>
      </c>
      <c r="F134" s="72" t="str">
        <f>IF(Sammanställning!$F96&lt;&gt;"",Sammanställning!K96,"")</f>
        <v/>
      </c>
      <c r="G134" s="80" t="str">
        <f>IF(Sammanställning!$F96&lt;&gt;"",Sammanställning!G96,"")</f>
        <v/>
      </c>
      <c r="H134" s="97" t="str">
        <f>IF(Sammanställning!$F96&lt;&gt;"",Sammanställning!H96,"")</f>
        <v/>
      </c>
      <c r="I134" s="99" t="str">
        <f>IF(Sammanställning!$F96&lt;&gt;"",Sammanställning!I96,"")</f>
        <v/>
      </c>
      <c r="J134" s="101">
        <f t="shared" si="5"/>
        <v>0</v>
      </c>
      <c r="K134" s="103">
        <f t="shared" si="4"/>
        <v>0</v>
      </c>
      <c r="L134" s="81" cm="1">
        <f t="array" ref="L134">IFERROR(_xlfn.IFS(I134="/påbörjad h",H134*K134,I134="/tillfälle",H134,I134="/pers/påbörjad h",E134*H134*K134,I134="/pers",E134*H134,I134="/instruktör",E134*H134,I134="/instruktör/påbörjad h",E134*H134*K134,I134="/st",E134*H134,I134="/bord",E134*H134,I134="",0),0)</f>
        <v>0</v>
      </c>
    </row>
    <row r="135" spans="1:12" ht="19.649999999999999" customHeight="1" x14ac:dyDescent="0.3">
      <c r="A135" s="82"/>
      <c r="B135" s="82"/>
      <c r="C135" s="83"/>
      <c r="D135" s="82"/>
      <c r="E135" s="84"/>
      <c r="F135" s="84"/>
      <c r="G135" s="85" t="s">
        <v>987</v>
      </c>
      <c r="H135" s="86"/>
      <c r="I135" s="87" t="s">
        <v>988</v>
      </c>
      <c r="J135" s="88">
        <f>SUBTOTAL(109,Tabell2377[Summa])</f>
        <v>0</v>
      </c>
      <c r="K135" s="89"/>
      <c r="L135" s="90">
        <f>SUBTOTAL(109,Tabell2377[Pris, beräkning])</f>
        <v>0</v>
      </c>
    </row>
  </sheetData>
  <sheetProtection algorithmName="SHA-512" hashValue="R8fhviC2dUfEmZ4DaR17mn8AF6xKjk4s6xnogUft5bl+4H0grEBkR2s3+wf+/PYyh5Th8ZUAGW2j+wjXi669mg==" saltValue="79YhmEJX45ZEsitiFUl4gQ==" spinCount="100000" sheet="1" objects="1" scenarios="1" autoFilter="0" pivotTables="0"/>
  <mergeCells count="13">
    <mergeCell ref="A6:I6"/>
    <mergeCell ref="A1:F1"/>
    <mergeCell ref="A2:F2"/>
    <mergeCell ref="A3:F3"/>
    <mergeCell ref="A4:I4"/>
    <mergeCell ref="A5:I5"/>
    <mergeCell ref="A14:I14"/>
    <mergeCell ref="A7:I7"/>
    <mergeCell ref="A8:I8"/>
    <mergeCell ref="A9:I9"/>
    <mergeCell ref="A10:I10"/>
    <mergeCell ref="A11:I11"/>
    <mergeCell ref="A12:I12"/>
  </mergeCells>
  <conditionalFormatting sqref="A5">
    <cfRule type="expression" dxfId="8" priority="1">
      <formula>OR(IF($A5="-",1))</formula>
    </cfRule>
  </conditionalFormatting>
  <conditionalFormatting sqref="A2:F2">
    <cfRule type="expression" dxfId="7" priority="2">
      <formula>OR(IF($A2="-",1))</formula>
    </cfRule>
  </conditionalFormatting>
  <conditionalFormatting sqref="A40:F134 H40:L134">
    <cfRule type="expression" dxfId="6" priority="3">
      <formula>OR(IF($F40=TRUE,1))</formula>
    </cfRule>
  </conditionalFormatting>
  <hyperlinks>
    <hyperlink ref="A14" r:id="rId1" display="Viktig information gällande parkeringssituationen vid Westinghouse arena" xr:uid="{BC7F0833-A1F8-4017-80FE-0C39365DC868}"/>
    <hyperlink ref="A14:I14" r:id="rId2" display="Länk till viktig information gällande parkeringssituationen vid Westinghouse arena" xr:uid="{D2097194-F3D7-4192-8737-D542AF68DF7F}"/>
  </hyperlinks>
  <printOptions horizontalCentered="1"/>
  <pageMargins left="0.31496062992125984" right="0.31496062992125984" top="1.5354330708661419" bottom="0.51181102362204722" header="0.51181102362204722" footer="0.31496062992125984"/>
  <pageSetup paperSize="9" fitToWidth="0" fitToHeight="0" orientation="portrait" r:id="rId3"/>
  <headerFooter differentFirst="1">
    <oddHeader>&amp;R&amp;G</oddHeader>
    <oddFooter>&amp;C&amp;P / &amp;N</oddFooter>
    <firstHeader>&amp;L&amp;"+,Fet"&amp;20Bokningsbekräftelse&amp;"+,Normal"&amp;11
&amp;"+,Fet"&amp;14Westinghouse arena
&amp;F&amp;R&amp;G</firstHeader>
    <firstFooter>&amp;C&amp;P / &amp;N</firstFooter>
  </headerFooter>
  <rowBreaks count="1" manualBreakCount="1">
    <brk id="38" max="16383" man="1"/>
  </rowBreaks>
  <drawing r:id="rId4"/>
  <legacyDrawingHF r:id="rId5"/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CF5AAE-AB97-45CE-A01C-FFB1BD6DBEE7}">
          <x14:formula1>
            <xm:f>Kontaktuppgifter!$A$2:$A$300</xm:f>
          </x14:formula1>
          <xm:sqref>A5:I5</xm:sqref>
        </x14:dataValidation>
        <x14:dataValidation type="list" allowBlank="1" showInputMessage="1" showErrorMessage="1" xr:uid="{F7F80FE6-B63E-4209-9B2B-1C54E90773D5}">
          <x14:formula1>
            <xm:f>Listor!$O$2:$O$5</xm:f>
          </x14:formula1>
          <xm:sqref>A2:F2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68D6B-EE45-472E-9E72-D3D9519F3B57}">
  <sheetPr codeName="Blad61"/>
  <dimension ref="A1:N135"/>
  <sheetViews>
    <sheetView showGridLines="0" showZeros="0" view="pageLayout" zoomScaleNormal="100" workbookViewId="0">
      <selection activeCell="A5" sqref="A5:I5"/>
    </sheetView>
  </sheetViews>
  <sheetFormatPr defaultColWidth="9.109375" defaultRowHeight="19.649999999999999" customHeight="1" x14ac:dyDescent="0.25"/>
  <cols>
    <col min="1" max="1" width="7.44140625" style="65" customWidth="1"/>
    <col min="2" max="2" width="10.5546875" style="65" customWidth="1"/>
    <col min="3" max="3" width="8.5546875" style="91" customWidth="1"/>
    <col min="4" max="4" width="5.44140625" style="92" customWidth="1"/>
    <col min="5" max="5" width="10" style="72" customWidth="1"/>
    <col min="6" max="6" width="9.109375" style="66" hidden="1" customWidth="1"/>
    <col min="7" max="7" width="7.44140625" style="93" hidden="1" customWidth="1"/>
    <col min="8" max="8" width="12.109375" style="65" customWidth="1"/>
    <col min="9" max="9" width="19.5546875" style="94" customWidth="1"/>
    <col min="10" max="10" width="16.33203125" style="82" customWidth="1"/>
    <col min="11" max="11" width="18.33203125" style="90" hidden="1" customWidth="1"/>
    <col min="12" max="12" width="14.44140625" style="82" hidden="1" customWidth="1"/>
    <col min="13" max="13" width="8.5546875" style="65" bestFit="1" customWidth="1"/>
    <col min="14" max="14" width="21.5546875" style="66" bestFit="1" customWidth="1"/>
    <col min="15" max="15" width="20.6640625" style="66" bestFit="1" customWidth="1"/>
    <col min="16" max="16" width="21.44140625" style="66" bestFit="1" customWidth="1"/>
    <col min="17" max="16384" width="9.109375" style="66"/>
  </cols>
  <sheetData>
    <row r="1" spans="1:13" s="54" customFormat="1" ht="14.4" x14ac:dyDescent="0.3">
      <c r="A1" s="185" t="str">
        <f ca="1">"Bokning bekräftad/uppdaterad: "&amp;TEXT(TODAY(),"ÅÅÅÅ-MM-DD")</f>
        <v>Bokning bekräftad/uppdaterad: 2025-09-09</v>
      </c>
      <c r="B1" s="185"/>
      <c r="C1" s="185"/>
      <c r="D1" s="185"/>
      <c r="E1" s="185"/>
      <c r="F1" s="185"/>
      <c r="J1" s="55"/>
      <c r="K1" s="55"/>
      <c r="L1" s="55"/>
      <c r="M1" s="56"/>
    </row>
    <row r="2" spans="1:13" s="54" customFormat="1" ht="14.4" x14ac:dyDescent="0.3">
      <c r="A2" s="186" t="s">
        <v>991</v>
      </c>
      <c r="B2" s="186"/>
      <c r="C2" s="186"/>
      <c r="D2" s="186"/>
      <c r="E2" s="186"/>
      <c r="F2" s="186"/>
      <c r="G2" s="57"/>
      <c r="H2" s="57"/>
      <c r="J2" s="55"/>
      <c r="K2" s="55"/>
      <c r="L2" s="55"/>
      <c r="M2" s="56"/>
    </row>
    <row r="3" spans="1:13" s="54" customFormat="1" ht="14.4" x14ac:dyDescent="0.3">
      <c r="A3" s="185" t="str">
        <f>"Mejladress: "&amp;_xlfn.XLOOKUP('Bokningsbekräftelse HT'!A2,Listor!O2:O5,Listor!P2:P5,"-")</f>
        <v>Mejladress: kansliet@vasterasfriidrott.se</v>
      </c>
      <c r="B3" s="185"/>
      <c r="C3" s="185"/>
      <c r="D3" s="185"/>
      <c r="E3" s="185"/>
      <c r="F3" s="185"/>
      <c r="G3" s="58"/>
      <c r="H3" s="58"/>
      <c r="J3" s="55"/>
      <c r="K3" s="55"/>
      <c r="L3" s="55"/>
      <c r="M3" s="56"/>
    </row>
    <row r="4" spans="1:13" s="54" customFormat="1" ht="56.85" customHeight="1" x14ac:dyDescent="0.3">
      <c r="A4" s="187" t="s">
        <v>975</v>
      </c>
      <c r="B4" s="187"/>
      <c r="C4" s="187"/>
      <c r="D4" s="187"/>
      <c r="E4" s="187"/>
      <c r="F4" s="187"/>
      <c r="G4" s="187"/>
      <c r="H4" s="187"/>
      <c r="I4" s="187"/>
      <c r="J4" s="55"/>
      <c r="K4" s="55"/>
      <c r="L4" s="55"/>
      <c r="M4" s="56"/>
    </row>
    <row r="5" spans="1:13" s="54" customFormat="1" ht="19.649999999999999" customHeight="1" x14ac:dyDescent="0.3">
      <c r="A5" s="188" t="s">
        <v>731</v>
      </c>
      <c r="B5" s="188"/>
      <c r="C5" s="188"/>
      <c r="D5" s="188"/>
      <c r="E5" s="188"/>
      <c r="F5" s="188"/>
      <c r="G5" s="188"/>
      <c r="H5" s="188"/>
      <c r="I5" s="188"/>
      <c r="J5" s="55"/>
      <c r="K5" s="55"/>
      <c r="L5" s="55"/>
      <c r="M5" s="56"/>
    </row>
    <row r="6" spans="1:13" s="54" customFormat="1" ht="14.4" x14ac:dyDescent="0.3">
      <c r="A6" s="185" t="str">
        <f>"Kontaktperson: "&amp;_xlfn.XLOOKUP(A5,Kontaktuppgifter!A2:A300,Kontaktuppgifter!E2:E300,"")</f>
        <v>Kontaktperson: Johan Herbst</v>
      </c>
      <c r="B6" s="185"/>
      <c r="C6" s="185"/>
      <c r="D6" s="185"/>
      <c r="E6" s="185"/>
      <c r="F6" s="185"/>
      <c r="G6" s="185"/>
      <c r="H6" s="185"/>
      <c r="I6" s="185"/>
      <c r="J6" s="55"/>
      <c r="K6" s="55"/>
      <c r="L6" s="55"/>
      <c r="M6" s="56"/>
    </row>
    <row r="7" spans="1:13" s="54" customFormat="1" ht="14.4" x14ac:dyDescent="0.3">
      <c r="A7" s="185" t="str">
        <f>"Mejladress: "&amp;_xlfn.XLOOKUP(A5,Kontaktuppgifter!A2:A300,Kontaktuppgifter!G2:G300,"")</f>
        <v>Mejladress: johan.her@hotmail.com</v>
      </c>
      <c r="B7" s="185"/>
      <c r="C7" s="185"/>
      <c r="D7" s="185"/>
      <c r="E7" s="185"/>
      <c r="F7" s="185"/>
      <c r="G7" s="185"/>
      <c r="H7" s="185"/>
      <c r="I7" s="185"/>
      <c r="J7" s="55"/>
      <c r="K7" s="55"/>
      <c r="L7" s="55"/>
      <c r="M7" s="56"/>
    </row>
    <row r="8" spans="1:13" s="54" customFormat="1" ht="14.4" x14ac:dyDescent="0.3">
      <c r="A8" s="185" t="str">
        <f>"Telefonnummer: "&amp;_xlfn.XLOOKUP(A5,Kontaktuppgifter!A2:A300,Kontaktuppgifter!F2:F300,"")</f>
        <v>Telefonnummer: 0707592181</v>
      </c>
      <c r="B8" s="185"/>
      <c r="C8" s="185"/>
      <c r="D8" s="185"/>
      <c r="E8" s="185"/>
      <c r="F8" s="185"/>
      <c r="G8" s="185"/>
      <c r="H8" s="185"/>
      <c r="I8" s="185"/>
      <c r="J8" s="55"/>
      <c r="K8" s="55"/>
      <c r="L8" s="55"/>
      <c r="M8" s="56"/>
    </row>
    <row r="9" spans="1:13" s="56" customFormat="1" ht="14.4" x14ac:dyDescent="0.3">
      <c r="A9" s="185" t="str">
        <f>"Fakturaadress: "&amp;_xlfn.XLOOKUP(A5,Kontaktuppgifter!A2:A300,Kontaktuppgifter!B2:B300,"")</f>
        <v>Fakturaadress: Västerås Skid- Och Orienterings Klubb, Box 2021, 720 02 Västerås</v>
      </c>
      <c r="B9" s="185"/>
      <c r="C9" s="185"/>
      <c r="D9" s="185"/>
      <c r="E9" s="185"/>
      <c r="F9" s="185"/>
      <c r="G9" s="185"/>
      <c r="H9" s="185"/>
      <c r="I9" s="185"/>
      <c r="J9" s="55"/>
      <c r="K9" s="55"/>
      <c r="L9" s="55"/>
    </row>
    <row r="10" spans="1:13" s="56" customFormat="1" ht="14.4" x14ac:dyDescent="0.3">
      <c r="A10" s="185" t="str">
        <f>"Mejlfakturering: "&amp;_xlfn.XLOOKUP(A5,Kontaktuppgifter!A2:A300,Kontaktuppgifter!C2:C300,"")</f>
        <v>Mejlfakturering: info@vasterassok.com</v>
      </c>
      <c r="B10" s="185"/>
      <c r="C10" s="185"/>
      <c r="D10" s="185"/>
      <c r="E10" s="185"/>
      <c r="F10" s="185"/>
      <c r="G10" s="185"/>
      <c r="H10" s="185"/>
      <c r="I10" s="185"/>
      <c r="J10" s="55"/>
      <c r="K10" s="55"/>
      <c r="L10" s="55"/>
    </row>
    <row r="11" spans="1:13" s="56" customFormat="1" ht="14.4" x14ac:dyDescent="0.3">
      <c r="A11" s="185" t="str">
        <f>"Referens: "&amp;_xlfn.XLOOKUP(A5,Kontaktuppgifter!A2:A300,Kontaktuppgifter!D2:D300,"")</f>
        <v>Referens: -</v>
      </c>
      <c r="B11" s="185"/>
      <c r="C11" s="185"/>
      <c r="D11" s="185"/>
      <c r="E11" s="185"/>
      <c r="F11" s="185"/>
      <c r="G11" s="185"/>
      <c r="H11" s="185"/>
      <c r="I11" s="185"/>
      <c r="J11" s="55"/>
      <c r="K11" s="55"/>
      <c r="L11" s="55"/>
    </row>
    <row r="12" spans="1:13" s="56" customFormat="1" ht="14.4" x14ac:dyDescent="0.3">
      <c r="A12" s="185" t="str">
        <f>"Organisationsnummer: "&amp;_xlfn.XLOOKUP(A5,Kontaktuppgifter!A2:A300,Kontaktuppgifter!H2:H300,"")</f>
        <v>Organisationsnummer: -</v>
      </c>
      <c r="B12" s="185"/>
      <c r="C12" s="185"/>
      <c r="D12" s="185"/>
      <c r="E12" s="185"/>
      <c r="F12" s="185"/>
      <c r="G12" s="185"/>
      <c r="H12" s="185"/>
      <c r="I12" s="185"/>
      <c r="J12" s="55"/>
      <c r="K12" s="55"/>
      <c r="L12" s="55"/>
    </row>
    <row r="13" spans="1:13" s="54" customFormat="1" ht="14.4" x14ac:dyDescent="0.3">
      <c r="J13" s="55"/>
      <c r="K13" s="55"/>
      <c r="L13" s="55"/>
      <c r="M13" s="56"/>
    </row>
    <row r="14" spans="1:13" s="54" customFormat="1" ht="14.4" x14ac:dyDescent="0.3">
      <c r="A14" s="184" t="s">
        <v>976</v>
      </c>
      <c r="B14" s="184"/>
      <c r="C14" s="184"/>
      <c r="D14" s="184"/>
      <c r="E14" s="184"/>
      <c r="F14" s="184"/>
      <c r="G14" s="184"/>
      <c r="H14" s="184"/>
      <c r="I14" s="184"/>
      <c r="J14" s="55"/>
      <c r="K14" s="55"/>
      <c r="L14" s="55"/>
      <c r="M14" s="56"/>
    </row>
    <row r="15" spans="1:13" s="54" customFormat="1" ht="14.4" x14ac:dyDescent="0.3">
      <c r="J15" s="55"/>
      <c r="K15" s="55"/>
      <c r="L15" s="55"/>
      <c r="M15" s="56"/>
    </row>
    <row r="16" spans="1:13" s="54" customFormat="1" ht="14.4" x14ac:dyDescent="0.3">
      <c r="J16" s="55"/>
      <c r="K16" s="55"/>
      <c r="L16" s="55"/>
      <c r="M16" s="56"/>
    </row>
    <row r="17" spans="10:13" s="54" customFormat="1" ht="14.4" x14ac:dyDescent="0.3">
      <c r="J17" s="55"/>
      <c r="K17" s="55"/>
      <c r="L17" s="55"/>
      <c r="M17" s="56"/>
    </row>
    <row r="18" spans="10:13" s="54" customFormat="1" ht="14.4" x14ac:dyDescent="0.3">
      <c r="J18" s="55"/>
      <c r="K18" s="55"/>
      <c r="L18" s="55"/>
      <c r="M18" s="56"/>
    </row>
    <row r="19" spans="10:13" s="54" customFormat="1" ht="14.4" x14ac:dyDescent="0.3">
      <c r="J19" s="55"/>
      <c r="K19" s="55"/>
      <c r="L19" s="55"/>
      <c r="M19" s="56"/>
    </row>
    <row r="20" spans="10:13" s="54" customFormat="1" ht="14.4" x14ac:dyDescent="0.3">
      <c r="J20" s="55"/>
      <c r="K20" s="55"/>
      <c r="L20" s="55"/>
      <c r="M20" s="56"/>
    </row>
    <row r="21" spans="10:13" s="54" customFormat="1" ht="14.4" x14ac:dyDescent="0.3">
      <c r="J21" s="55"/>
      <c r="K21" s="55"/>
      <c r="L21" s="55"/>
      <c r="M21" s="56"/>
    </row>
    <row r="22" spans="10:13" s="54" customFormat="1" ht="14.4" x14ac:dyDescent="0.3">
      <c r="J22" s="55"/>
      <c r="K22" s="55"/>
      <c r="L22" s="55"/>
      <c r="M22" s="56"/>
    </row>
    <row r="23" spans="10:13" s="54" customFormat="1" ht="14.4" x14ac:dyDescent="0.3">
      <c r="J23" s="55"/>
      <c r="K23" s="55"/>
      <c r="L23" s="55"/>
      <c r="M23" s="56"/>
    </row>
    <row r="24" spans="10:13" s="54" customFormat="1" ht="14.4" x14ac:dyDescent="0.3">
      <c r="J24" s="55"/>
      <c r="K24" s="55"/>
      <c r="L24" s="55"/>
      <c r="M24" s="56"/>
    </row>
    <row r="25" spans="10:13" s="54" customFormat="1" ht="14.4" x14ac:dyDescent="0.3">
      <c r="J25" s="55"/>
      <c r="K25" s="55"/>
      <c r="L25" s="55"/>
      <c r="M25" s="56"/>
    </row>
    <row r="26" spans="10:13" s="54" customFormat="1" ht="14.4" x14ac:dyDescent="0.3">
      <c r="J26" s="55"/>
      <c r="K26" s="55"/>
      <c r="L26" s="55"/>
      <c r="M26" s="56"/>
    </row>
    <row r="27" spans="10:13" s="54" customFormat="1" ht="14.4" x14ac:dyDescent="0.3">
      <c r="J27" s="55"/>
      <c r="K27" s="55"/>
      <c r="L27" s="55"/>
      <c r="M27" s="56"/>
    </row>
    <row r="28" spans="10:13" s="54" customFormat="1" ht="14.4" x14ac:dyDescent="0.3">
      <c r="J28" s="55"/>
      <c r="K28" s="55"/>
      <c r="L28" s="55"/>
      <c r="M28" s="56"/>
    </row>
    <row r="29" spans="10:13" s="54" customFormat="1" ht="14.4" x14ac:dyDescent="0.3">
      <c r="J29" s="55"/>
      <c r="K29" s="55"/>
      <c r="L29" s="55"/>
      <c r="M29" s="56"/>
    </row>
    <row r="30" spans="10:13" s="54" customFormat="1" ht="14.4" x14ac:dyDescent="0.3">
      <c r="J30" s="55"/>
      <c r="K30" s="55"/>
      <c r="L30" s="55"/>
      <c r="M30" s="56"/>
    </row>
    <row r="31" spans="10:13" s="54" customFormat="1" ht="14.4" x14ac:dyDescent="0.3">
      <c r="J31" s="55"/>
      <c r="K31" s="55"/>
      <c r="L31" s="55"/>
      <c r="M31" s="56"/>
    </row>
    <row r="32" spans="10:13" s="54" customFormat="1" ht="14.4" x14ac:dyDescent="0.3">
      <c r="J32" s="55"/>
      <c r="K32" s="55"/>
      <c r="L32" s="55"/>
      <c r="M32" s="56"/>
    </row>
    <row r="33" spans="1:14" s="54" customFormat="1" ht="14.4" x14ac:dyDescent="0.3">
      <c r="J33" s="55"/>
      <c r="K33" s="55"/>
      <c r="L33" s="55"/>
      <c r="M33" s="56"/>
    </row>
    <row r="34" spans="1:14" s="54" customFormat="1" ht="14.4" x14ac:dyDescent="0.3">
      <c r="J34" s="55"/>
      <c r="K34" s="55"/>
      <c r="L34" s="55"/>
      <c r="M34" s="56"/>
    </row>
    <row r="35" spans="1:14" s="54" customFormat="1" ht="14.4" x14ac:dyDescent="0.3">
      <c r="J35" s="55"/>
      <c r="K35" s="55"/>
      <c r="L35" s="55"/>
      <c r="M35" s="56"/>
    </row>
    <row r="36" spans="1:14" s="54" customFormat="1" ht="14.4" x14ac:dyDescent="0.3">
      <c r="J36" s="55"/>
      <c r="K36" s="55"/>
      <c r="L36" s="55"/>
      <c r="M36" s="56"/>
    </row>
    <row r="37" spans="1:14" s="54" customFormat="1" ht="14.4" x14ac:dyDescent="0.3">
      <c r="J37" s="55"/>
      <c r="K37" s="55"/>
      <c r="L37" s="55"/>
      <c r="M37" s="56"/>
    </row>
    <row r="38" spans="1:14" s="54" customFormat="1" ht="14.4" x14ac:dyDescent="0.3">
      <c r="J38" s="55"/>
      <c r="K38" s="55"/>
      <c r="L38" s="55"/>
      <c r="M38" s="56"/>
    </row>
    <row r="39" spans="1:14" ht="19.649999999999999" customHeight="1" x14ac:dyDescent="0.25">
      <c r="A39" s="59" t="s">
        <v>977</v>
      </c>
      <c r="B39" s="59" t="s">
        <v>18</v>
      </c>
      <c r="C39" s="60" t="s">
        <v>978</v>
      </c>
      <c r="D39" s="61" t="s">
        <v>979</v>
      </c>
      <c r="E39" s="59" t="s">
        <v>807</v>
      </c>
      <c r="F39" s="39" t="s">
        <v>980</v>
      </c>
      <c r="G39" s="59" t="s">
        <v>981</v>
      </c>
      <c r="H39" s="62" t="s">
        <v>982</v>
      </c>
      <c r="I39" s="63" t="s">
        <v>983</v>
      </c>
      <c r="J39" s="59" t="s">
        <v>984</v>
      </c>
      <c r="K39" s="64" t="s">
        <v>985</v>
      </c>
      <c r="L39" s="64" t="s">
        <v>986</v>
      </c>
      <c r="N39" s="65"/>
    </row>
    <row r="40" spans="1:14" ht="19.649999999999999" customHeight="1" x14ac:dyDescent="0.25">
      <c r="A40" s="67" t="str">
        <f>IF(Sammanställning!$S2&lt;&gt;"",Sammanställning!N2,"")</f>
        <v/>
      </c>
      <c r="B40" s="68" t="str">
        <f>IF(Sammanställning!$S2&lt;&gt;"",Sammanställning!O2,"")</f>
        <v/>
      </c>
      <c r="C40" s="69" t="str">
        <f>IF(Sammanställning!$S2&lt;&gt;"",Sammanställning!P2,"")</f>
        <v/>
      </c>
      <c r="D40" s="70" t="str">
        <f>IF(Sammanställning!$S2&lt;&gt;"",Sammanställning!Q2,"")</f>
        <v/>
      </c>
      <c r="E40" s="71" t="str">
        <f>IF(Sammanställning!$S2&lt;&gt;"",Sammanställning!R2,"")</f>
        <v/>
      </c>
      <c r="F40" s="72" t="str">
        <f>IF(Sammanställning!$S2&lt;&gt;"",Sammanställning!X2,"")</f>
        <v/>
      </c>
      <c r="G40" s="73" t="str">
        <f>IF(Sammanställning!$S2&lt;&gt;"",Sammanställning!T2,"")</f>
        <v/>
      </c>
      <c r="H40" s="96" t="str">
        <f>IF(Sammanställning!$S2&lt;&gt;"",Sammanställning!U2,"")</f>
        <v/>
      </c>
      <c r="I40" s="98" t="str">
        <f>IF(Sammanställning!$S2&lt;&gt;"",Sammanställning!V2,"")</f>
        <v/>
      </c>
      <c r="J40" s="100">
        <f t="shared" ref="J40:J103" si="0">IFERROR(IF(OR(F40=TRUE),0,L40),0)</f>
        <v>0</v>
      </c>
      <c r="K40" s="102">
        <f>IFERROR(ROUNDUP((D40-C40)*24,0),0)</f>
        <v>0</v>
      </c>
      <c r="L40" s="74" cm="1">
        <f t="array" ref="L40">IFERROR(_xlfn.IFS(I40="/påbörjad h",H40*K40,I40="/tillfälle",H40,I40="/pers/påbörjad h",E40*H40*K40,I40="/pers",E40*H40,I40="/instruktör",E40*H40,I40="/instruktör/påbörjad h",E40*H40*K40,I40="/st",E40*H40,I40="/bord",E40*H40,I40="",0),0)</f>
        <v>0</v>
      </c>
      <c r="N40" s="65"/>
    </row>
    <row r="41" spans="1:14" ht="19.649999999999999" customHeight="1" x14ac:dyDescent="0.25">
      <c r="A41" s="75" t="str">
        <f>IF(Sammanställning!$S3&lt;&gt;"",Sammanställning!N3,"")</f>
        <v/>
      </c>
      <c r="B41" s="76" t="str">
        <f>IF(Sammanställning!$S3&lt;&gt;"",Sammanställning!O3,"")</f>
        <v/>
      </c>
      <c r="C41" s="77" t="str">
        <f>IF(Sammanställning!$S3&lt;&gt;"",Sammanställning!P3,"")</f>
        <v/>
      </c>
      <c r="D41" s="78" t="str">
        <f>IF(Sammanställning!$S3&lt;&gt;"",Sammanställning!Q3,"")</f>
        <v/>
      </c>
      <c r="E41" s="79" t="str">
        <f>IF(Sammanställning!$S3&lt;&gt;"",Sammanställning!R3,"")</f>
        <v/>
      </c>
      <c r="F41" s="72" t="str">
        <f>IF(Sammanställning!$S3&lt;&gt;"",Sammanställning!X3,"")</f>
        <v/>
      </c>
      <c r="G41" s="80" t="str">
        <f>IF(Sammanställning!$S3&lt;&gt;"",Sammanställning!T3,"")</f>
        <v/>
      </c>
      <c r="H41" s="97" t="str">
        <f>IF(Sammanställning!$S3&lt;&gt;"",Sammanställning!U3,"")</f>
        <v/>
      </c>
      <c r="I41" s="99" t="str">
        <f>IF(Sammanställning!$S3&lt;&gt;"",Sammanställning!V3,"")</f>
        <v/>
      </c>
      <c r="J41" s="101">
        <f t="shared" si="0"/>
        <v>0</v>
      </c>
      <c r="K41" s="103">
        <f t="shared" ref="K41:K104" si="1">IFERROR(ROUNDUP((D41-C41)*24,0),0)</f>
        <v>0</v>
      </c>
      <c r="L41" s="81" cm="1">
        <f t="array" ref="L41">IFERROR(_xlfn.IFS(I41="/påbörjad h",H41*K41,I41="/tillfälle",H41,I41="/pers/påbörjad h",E41*H41*K41,I41="/pers",E41*H41,I41="/instruktör",E41*H41,I41="/instruktör/påbörjad h",E41*H41*K41,I41="/st",E41*H41,I41="/bord",E41*H41,I41="",0),0)</f>
        <v>0</v>
      </c>
      <c r="N41" s="65"/>
    </row>
    <row r="42" spans="1:14" ht="19.649999999999999" customHeight="1" x14ac:dyDescent="0.25">
      <c r="A42" s="75" t="str">
        <f>IF(Sammanställning!$S4&lt;&gt;"",Sammanställning!N4,"")</f>
        <v/>
      </c>
      <c r="B42" s="76" t="str">
        <f>IF(Sammanställning!$S4&lt;&gt;"",Sammanställning!O4,"")</f>
        <v/>
      </c>
      <c r="C42" s="77" t="str">
        <f>IF(Sammanställning!$S4&lt;&gt;"",Sammanställning!P4,"")</f>
        <v/>
      </c>
      <c r="D42" s="78" t="str">
        <f>IF(Sammanställning!$S4&lt;&gt;"",Sammanställning!Q4,"")</f>
        <v/>
      </c>
      <c r="E42" s="79" t="str">
        <f>IF(Sammanställning!$S4&lt;&gt;"",Sammanställning!R4,"")</f>
        <v/>
      </c>
      <c r="F42" s="72" t="str">
        <f>IF(Sammanställning!$S4&lt;&gt;"",Sammanställning!X4,"")</f>
        <v/>
      </c>
      <c r="G42" s="80" t="str">
        <f>IF(Sammanställning!$S4&lt;&gt;"",Sammanställning!T4,"")</f>
        <v/>
      </c>
      <c r="H42" s="97" t="str">
        <f>IF(Sammanställning!$S4&lt;&gt;"",Sammanställning!U4,"")</f>
        <v/>
      </c>
      <c r="I42" s="99" t="str">
        <f>IF(Sammanställning!$S4&lt;&gt;"",Sammanställning!V4,"")</f>
        <v/>
      </c>
      <c r="J42" s="101">
        <f t="shared" si="0"/>
        <v>0</v>
      </c>
      <c r="K42" s="103">
        <f t="shared" si="1"/>
        <v>0</v>
      </c>
      <c r="L42" s="81" cm="1">
        <f t="array" ref="L42">IFERROR(_xlfn.IFS(I42="/påbörjad h",H42*K42,I42="/tillfälle",H42,I42="/pers/påbörjad h",E42*H42*K42,I42="/pers",E42*H42,I42="/instruktör",E42*H42,I42="/instruktör/påbörjad h",E42*H42*K42,I42="/st",E42*H42,I42="/bord",E42*H42,I42="",0),0)</f>
        <v>0</v>
      </c>
      <c r="N42" s="65"/>
    </row>
    <row r="43" spans="1:14" ht="19.649999999999999" customHeight="1" x14ac:dyDescent="0.25">
      <c r="A43" s="75" t="str">
        <f>IF(Sammanställning!$S5&lt;&gt;"",Sammanställning!N5,"")</f>
        <v/>
      </c>
      <c r="B43" s="76" t="str">
        <f>IF(Sammanställning!$S5&lt;&gt;"",Sammanställning!O5,"")</f>
        <v/>
      </c>
      <c r="C43" s="77" t="str">
        <f>IF(Sammanställning!$S5&lt;&gt;"",Sammanställning!P5,"")</f>
        <v/>
      </c>
      <c r="D43" s="78" t="str">
        <f>IF(Sammanställning!$S5&lt;&gt;"",Sammanställning!Q5,"")</f>
        <v/>
      </c>
      <c r="E43" s="79" t="str">
        <f>IF(Sammanställning!$S5&lt;&gt;"",Sammanställning!R5,"")</f>
        <v/>
      </c>
      <c r="F43" s="72" t="str">
        <f>IF(Sammanställning!$S5&lt;&gt;"",Sammanställning!X5,"")</f>
        <v/>
      </c>
      <c r="G43" s="80" t="str">
        <f>IF(Sammanställning!$S5&lt;&gt;"",Sammanställning!T5,"")</f>
        <v/>
      </c>
      <c r="H43" s="97" t="str">
        <f>IF(Sammanställning!$S5&lt;&gt;"",Sammanställning!U5,"")</f>
        <v/>
      </c>
      <c r="I43" s="99" t="str">
        <f>IF(Sammanställning!$S5&lt;&gt;"",Sammanställning!V5,"")</f>
        <v/>
      </c>
      <c r="J43" s="101">
        <f t="shared" si="0"/>
        <v>0</v>
      </c>
      <c r="K43" s="103">
        <f t="shared" si="1"/>
        <v>0</v>
      </c>
      <c r="L43" s="81" cm="1">
        <f t="array" ref="L43">IFERROR(_xlfn.IFS(I43="/påbörjad h",H43*K43,I43="/tillfälle",H43,I43="/pers/påbörjad h",E43*H43*K43,I43="/pers",E43*H43,I43="/instruktör",E43*H43,I43="/instruktör/påbörjad h",E43*H43*K43,I43="/st",E43*H43,I43="/bord",E43*H43,I43="",0),0)</f>
        <v>0</v>
      </c>
      <c r="N43" s="65"/>
    </row>
    <row r="44" spans="1:14" ht="19.649999999999999" customHeight="1" x14ac:dyDescent="0.25">
      <c r="A44" s="75" t="str">
        <f>IF(Sammanställning!$S6&lt;&gt;"",Sammanställning!N6,"")</f>
        <v/>
      </c>
      <c r="B44" s="76" t="str">
        <f>IF(Sammanställning!$S6&lt;&gt;"",Sammanställning!O6,"")</f>
        <v/>
      </c>
      <c r="C44" s="77" t="str">
        <f>IF(Sammanställning!$S6&lt;&gt;"",Sammanställning!P6,"")</f>
        <v/>
      </c>
      <c r="D44" s="78" t="str">
        <f>IF(Sammanställning!$S6&lt;&gt;"",Sammanställning!Q6,"")</f>
        <v/>
      </c>
      <c r="E44" s="79" t="str">
        <f>IF(Sammanställning!$S6&lt;&gt;"",Sammanställning!R6,"")</f>
        <v/>
      </c>
      <c r="F44" s="72" t="str">
        <f>IF(Sammanställning!$S6&lt;&gt;"",Sammanställning!X6,"")</f>
        <v/>
      </c>
      <c r="G44" s="80" t="str">
        <f>IF(Sammanställning!$S6&lt;&gt;"",Sammanställning!T6,"")</f>
        <v/>
      </c>
      <c r="H44" s="97" t="str">
        <f>IF(Sammanställning!$S6&lt;&gt;"",Sammanställning!U6,"")</f>
        <v/>
      </c>
      <c r="I44" s="99" t="str">
        <f>IF(Sammanställning!$S6&lt;&gt;"",Sammanställning!V6,"")</f>
        <v/>
      </c>
      <c r="J44" s="101">
        <f t="shared" si="0"/>
        <v>0</v>
      </c>
      <c r="K44" s="103">
        <f t="shared" si="1"/>
        <v>0</v>
      </c>
      <c r="L44" s="81" cm="1">
        <f t="array" ref="L44">IFERROR(_xlfn.IFS(I44="/påbörjad h",H44*K44,I44="/tillfälle",H44,I44="/pers/påbörjad h",E44*H44*K44,I44="/pers",E44*H44,I44="/instruktör",E44*H44,I44="/instruktör/påbörjad h",E44*H44*K44,I44="/st",E44*H44,I44="/bord",E44*H44,I44="",0),0)</f>
        <v>0</v>
      </c>
      <c r="N44" s="65"/>
    </row>
    <row r="45" spans="1:14" ht="19.649999999999999" customHeight="1" x14ac:dyDescent="0.25">
      <c r="A45" s="75" t="str">
        <f>IF(Sammanställning!$S7&lt;&gt;"",Sammanställning!N7,"")</f>
        <v/>
      </c>
      <c r="B45" s="76" t="str">
        <f>IF(Sammanställning!$S7&lt;&gt;"",Sammanställning!O7,"")</f>
        <v/>
      </c>
      <c r="C45" s="77" t="str">
        <f>IF(Sammanställning!$S7&lt;&gt;"",Sammanställning!P7,"")</f>
        <v/>
      </c>
      <c r="D45" s="78" t="str">
        <f>IF(Sammanställning!$S7&lt;&gt;"",Sammanställning!Q7,"")</f>
        <v/>
      </c>
      <c r="E45" s="79" t="str">
        <f>IF(Sammanställning!$S7&lt;&gt;"",Sammanställning!R7,"")</f>
        <v/>
      </c>
      <c r="F45" s="72" t="str">
        <f>IF(Sammanställning!$S7&lt;&gt;"",Sammanställning!X7,"")</f>
        <v/>
      </c>
      <c r="G45" s="80" t="str">
        <f>IF(Sammanställning!$S7&lt;&gt;"",Sammanställning!T7,"")</f>
        <v/>
      </c>
      <c r="H45" s="97" t="str">
        <f>IF(Sammanställning!$S7&lt;&gt;"",Sammanställning!U7,"")</f>
        <v/>
      </c>
      <c r="I45" s="99" t="str">
        <f>IF(Sammanställning!$S7&lt;&gt;"",Sammanställning!V7,"")</f>
        <v/>
      </c>
      <c r="J45" s="101">
        <f t="shared" si="0"/>
        <v>0</v>
      </c>
      <c r="K45" s="103">
        <f t="shared" si="1"/>
        <v>0</v>
      </c>
      <c r="L45" s="81" cm="1">
        <f t="array" ref="L45">IFERROR(_xlfn.IFS(I45="/påbörjad h",H45*K45,I45="/tillfälle",H45,I45="/pers/påbörjad h",E45*H45*K45,I45="/pers",E45*H45,I45="/instruktör",E45*H45,I45="/instruktör/påbörjad h",E45*H45*K45,I45="/st",E45*H45,I45="/bord",E45*H45,I45="",0),0)</f>
        <v>0</v>
      </c>
      <c r="N45" s="65"/>
    </row>
    <row r="46" spans="1:14" ht="19.649999999999999" customHeight="1" x14ac:dyDescent="0.25">
      <c r="A46" s="75" t="str">
        <f>IF(Sammanställning!$S8&lt;&gt;"",Sammanställning!N8,"")</f>
        <v/>
      </c>
      <c r="B46" s="76" t="str">
        <f>IF(Sammanställning!$S8&lt;&gt;"",Sammanställning!O8,"")</f>
        <v/>
      </c>
      <c r="C46" s="77" t="str">
        <f>IF(Sammanställning!$S8&lt;&gt;"",Sammanställning!P8,"")</f>
        <v/>
      </c>
      <c r="D46" s="78" t="str">
        <f>IF(Sammanställning!$S8&lt;&gt;"",Sammanställning!Q8,"")</f>
        <v/>
      </c>
      <c r="E46" s="79" t="str">
        <f>IF(Sammanställning!$S8&lt;&gt;"",Sammanställning!R8,"")</f>
        <v/>
      </c>
      <c r="F46" s="72" t="str">
        <f>IF(Sammanställning!$S8&lt;&gt;"",Sammanställning!X8,"")</f>
        <v/>
      </c>
      <c r="G46" s="80" t="str">
        <f>IF(Sammanställning!$S8&lt;&gt;"",Sammanställning!T8,"")</f>
        <v/>
      </c>
      <c r="H46" s="97" t="str">
        <f>IF(Sammanställning!$S8&lt;&gt;"",Sammanställning!U8,"")</f>
        <v/>
      </c>
      <c r="I46" s="99" t="str">
        <f>IF(Sammanställning!$S8&lt;&gt;"",Sammanställning!V8,"")</f>
        <v/>
      </c>
      <c r="J46" s="101">
        <f t="shared" si="0"/>
        <v>0</v>
      </c>
      <c r="K46" s="103">
        <f t="shared" si="1"/>
        <v>0</v>
      </c>
      <c r="L46" s="81" cm="1">
        <f t="array" ref="L46">IFERROR(_xlfn.IFS(I46="/påbörjad h",H46*K46,I46="/tillfälle",H46,I46="/pers/påbörjad h",E46*H46*K46,I46="/pers",E46*H46,I46="/instruktör",E46*H46,I46="/instruktör/påbörjad h",E46*H46*K46,I46="/st",E46*H46,I46="/bord",E46*H46,I46="",0),0)</f>
        <v>0</v>
      </c>
      <c r="N46" s="65"/>
    </row>
    <row r="47" spans="1:14" ht="19.649999999999999" customHeight="1" x14ac:dyDescent="0.25">
      <c r="A47" s="75" t="str">
        <f>IF(Sammanställning!$S9&lt;&gt;"",Sammanställning!N9,"")</f>
        <v/>
      </c>
      <c r="B47" s="76" t="str">
        <f>IF(Sammanställning!$S9&lt;&gt;"",Sammanställning!O9,"")</f>
        <v/>
      </c>
      <c r="C47" s="77" t="str">
        <f>IF(Sammanställning!$S9&lt;&gt;"",Sammanställning!P9,"")</f>
        <v/>
      </c>
      <c r="D47" s="78" t="str">
        <f>IF(Sammanställning!$S9&lt;&gt;"",Sammanställning!Q9,"")</f>
        <v/>
      </c>
      <c r="E47" s="79" t="str">
        <f>IF(Sammanställning!$S9&lt;&gt;"",Sammanställning!R9,"")</f>
        <v/>
      </c>
      <c r="F47" s="72" t="str">
        <f>IF(Sammanställning!$S9&lt;&gt;"",Sammanställning!X9,"")</f>
        <v/>
      </c>
      <c r="G47" s="80" t="str">
        <f>IF(Sammanställning!$S9&lt;&gt;"",Sammanställning!T9,"")</f>
        <v/>
      </c>
      <c r="H47" s="97" t="str">
        <f>IF(Sammanställning!$S9&lt;&gt;"",Sammanställning!U9,"")</f>
        <v/>
      </c>
      <c r="I47" s="99" t="str">
        <f>IF(Sammanställning!$S9&lt;&gt;"",Sammanställning!V9,"")</f>
        <v/>
      </c>
      <c r="J47" s="101">
        <f t="shared" si="0"/>
        <v>0</v>
      </c>
      <c r="K47" s="103">
        <f t="shared" si="1"/>
        <v>0</v>
      </c>
      <c r="L47" s="81" cm="1">
        <f t="array" ref="L47">IFERROR(_xlfn.IFS(I47="/påbörjad h",H47*K47,I47="/tillfälle",H47,I47="/pers/påbörjad h",E47*H47*K47,I47="/pers",E47*H47,I47="/instruktör",E47*H47,I47="/instruktör/påbörjad h",E47*H47*K47,I47="/st",E47*H47,I47="/bord",E47*H47,I47="",0),0)</f>
        <v>0</v>
      </c>
      <c r="N47" s="65"/>
    </row>
    <row r="48" spans="1:14" ht="19.649999999999999" customHeight="1" x14ac:dyDescent="0.25">
      <c r="A48" s="75" t="str">
        <f>IF(Sammanställning!$S10&lt;&gt;"",Sammanställning!N10,"")</f>
        <v/>
      </c>
      <c r="B48" s="76" t="str">
        <f>IF(Sammanställning!$S10&lt;&gt;"",Sammanställning!O10,"")</f>
        <v/>
      </c>
      <c r="C48" s="77" t="str">
        <f>IF(Sammanställning!$S10&lt;&gt;"",Sammanställning!P10,"")</f>
        <v/>
      </c>
      <c r="D48" s="78" t="str">
        <f>IF(Sammanställning!$S10&lt;&gt;"",Sammanställning!Q10,"")</f>
        <v/>
      </c>
      <c r="E48" s="79" t="str">
        <f>IF(Sammanställning!$S10&lt;&gt;"",Sammanställning!R10,"")</f>
        <v/>
      </c>
      <c r="F48" s="72" t="str">
        <f>IF(Sammanställning!$S10&lt;&gt;"",Sammanställning!X10,"")</f>
        <v/>
      </c>
      <c r="G48" s="80" t="str">
        <f>IF(Sammanställning!$S10&lt;&gt;"",Sammanställning!T10,"")</f>
        <v/>
      </c>
      <c r="H48" s="97" t="str">
        <f>IF(Sammanställning!$S10&lt;&gt;"",Sammanställning!U10,"")</f>
        <v/>
      </c>
      <c r="I48" s="99" t="str">
        <f>IF(Sammanställning!$S10&lt;&gt;"",Sammanställning!V10,"")</f>
        <v/>
      </c>
      <c r="J48" s="101">
        <f t="shared" si="0"/>
        <v>0</v>
      </c>
      <c r="K48" s="103">
        <f t="shared" si="1"/>
        <v>0</v>
      </c>
      <c r="L48" s="81" cm="1">
        <f t="array" ref="L48">IFERROR(_xlfn.IFS(I48="/påbörjad h",H48*K48,I48="/tillfälle",H48,I48="/pers/påbörjad h",E48*H48*K48,I48="/pers",E48*H48,I48="/instruktör",E48*H48,I48="/instruktör/påbörjad h",E48*H48*K48,I48="/st",E48*H48,I48="/bord",E48*H48,I48="",0),0)</f>
        <v>0</v>
      </c>
      <c r="N48" s="65"/>
    </row>
    <row r="49" spans="1:14" ht="19.649999999999999" customHeight="1" x14ac:dyDescent="0.25">
      <c r="A49" s="75" t="str">
        <f>IF(Sammanställning!$S11&lt;&gt;"",Sammanställning!N11,"")</f>
        <v/>
      </c>
      <c r="B49" s="76" t="str">
        <f>IF(Sammanställning!$S11&lt;&gt;"",Sammanställning!O11,"")</f>
        <v/>
      </c>
      <c r="C49" s="77" t="str">
        <f>IF(Sammanställning!$S11&lt;&gt;"",Sammanställning!P11,"")</f>
        <v/>
      </c>
      <c r="D49" s="78" t="str">
        <f>IF(Sammanställning!$S11&lt;&gt;"",Sammanställning!Q11,"")</f>
        <v/>
      </c>
      <c r="E49" s="79" t="str">
        <f>IF(Sammanställning!$S11&lt;&gt;"",Sammanställning!R11,"")</f>
        <v/>
      </c>
      <c r="F49" s="72" t="str">
        <f>IF(Sammanställning!$S11&lt;&gt;"",Sammanställning!X11,"")</f>
        <v/>
      </c>
      <c r="G49" s="80" t="str">
        <f>IF(Sammanställning!$S11&lt;&gt;"",Sammanställning!T11,"")</f>
        <v/>
      </c>
      <c r="H49" s="97" t="str">
        <f>IF(Sammanställning!$S11&lt;&gt;"",Sammanställning!U11,"")</f>
        <v/>
      </c>
      <c r="I49" s="99" t="str">
        <f>IF(Sammanställning!$S11&lt;&gt;"",Sammanställning!V11,"")</f>
        <v/>
      </c>
      <c r="J49" s="101">
        <f t="shared" si="0"/>
        <v>0</v>
      </c>
      <c r="K49" s="103">
        <f t="shared" si="1"/>
        <v>0</v>
      </c>
      <c r="L49" s="81" cm="1">
        <f t="array" ref="L49">IFERROR(_xlfn.IFS(I49="/påbörjad h",H49*K49,I49="/tillfälle",H49,I49="/pers/påbörjad h",E49*H49*K49,I49="/pers",E49*H49,I49="/instruktör",E49*H49,I49="/instruktör/påbörjad h",E49*H49*K49,I49="/st",E49*H49,I49="/bord",E49*H49,I49="",0),0)</f>
        <v>0</v>
      </c>
      <c r="N49" s="65"/>
    </row>
    <row r="50" spans="1:14" ht="19.649999999999999" customHeight="1" x14ac:dyDescent="0.25">
      <c r="A50" s="75" t="str">
        <f>IF(Sammanställning!$S12&lt;&gt;"",Sammanställning!N12,"")</f>
        <v/>
      </c>
      <c r="B50" s="76" t="str">
        <f>IF(Sammanställning!$S12&lt;&gt;"",Sammanställning!O12,"")</f>
        <v/>
      </c>
      <c r="C50" s="77" t="str">
        <f>IF(Sammanställning!$S12&lt;&gt;"",Sammanställning!P12,"")</f>
        <v/>
      </c>
      <c r="D50" s="78" t="str">
        <f>IF(Sammanställning!$S12&lt;&gt;"",Sammanställning!Q12,"")</f>
        <v/>
      </c>
      <c r="E50" s="79" t="str">
        <f>IF(Sammanställning!$S12&lt;&gt;"",Sammanställning!R12,"")</f>
        <v/>
      </c>
      <c r="F50" s="72" t="str">
        <f>IF(Sammanställning!$S12&lt;&gt;"",Sammanställning!X12,"")</f>
        <v/>
      </c>
      <c r="G50" s="80" t="str">
        <f>IF(Sammanställning!$S12&lt;&gt;"",Sammanställning!T12,"")</f>
        <v/>
      </c>
      <c r="H50" s="97" t="str">
        <f>IF(Sammanställning!$S12&lt;&gt;"",Sammanställning!U12,"")</f>
        <v/>
      </c>
      <c r="I50" s="99" t="str">
        <f>IF(Sammanställning!$S12&lt;&gt;"",Sammanställning!V12,"")</f>
        <v/>
      </c>
      <c r="J50" s="101">
        <f t="shared" si="0"/>
        <v>0</v>
      </c>
      <c r="K50" s="103">
        <f t="shared" si="1"/>
        <v>0</v>
      </c>
      <c r="L50" s="81" cm="1">
        <f t="array" ref="L50">IFERROR(_xlfn.IFS(I50="/påbörjad h",H50*K50,I50="/tillfälle",H50,I50="/pers/påbörjad h",E50*H50*K50,I50="/pers",E50*H50,I50="/instruktör",E50*H50,I50="/instruktör/påbörjad h",E50*H50*K50,I50="/st",E50*H50,I50="/bord",E50*H50,I50="",0),0)</f>
        <v>0</v>
      </c>
      <c r="N50" s="65"/>
    </row>
    <row r="51" spans="1:14" ht="19.649999999999999" customHeight="1" x14ac:dyDescent="0.25">
      <c r="A51" s="75" t="str">
        <f>IF(Sammanställning!$S13&lt;&gt;"",Sammanställning!N13,"")</f>
        <v/>
      </c>
      <c r="B51" s="76" t="str">
        <f>IF(Sammanställning!$S13&lt;&gt;"",Sammanställning!O13,"")</f>
        <v/>
      </c>
      <c r="C51" s="77" t="str">
        <f>IF(Sammanställning!$S13&lt;&gt;"",Sammanställning!P13,"")</f>
        <v/>
      </c>
      <c r="D51" s="78" t="str">
        <f>IF(Sammanställning!$S13&lt;&gt;"",Sammanställning!Q13,"")</f>
        <v/>
      </c>
      <c r="E51" s="79" t="str">
        <f>IF(Sammanställning!$S13&lt;&gt;"",Sammanställning!R13,"")</f>
        <v/>
      </c>
      <c r="F51" s="72" t="str">
        <f>IF(Sammanställning!$S13&lt;&gt;"",Sammanställning!X13,"")</f>
        <v/>
      </c>
      <c r="G51" s="80" t="str">
        <f>IF(Sammanställning!$S13&lt;&gt;"",Sammanställning!T13,"")</f>
        <v/>
      </c>
      <c r="H51" s="97" t="str">
        <f>IF(Sammanställning!$S13&lt;&gt;"",Sammanställning!U13,"")</f>
        <v/>
      </c>
      <c r="I51" s="99" t="str">
        <f>IF(Sammanställning!$S13&lt;&gt;"",Sammanställning!V13,"")</f>
        <v/>
      </c>
      <c r="J51" s="101">
        <f t="shared" si="0"/>
        <v>0</v>
      </c>
      <c r="K51" s="103">
        <f t="shared" si="1"/>
        <v>0</v>
      </c>
      <c r="L51" s="81" cm="1">
        <f t="array" ref="L51">IFERROR(_xlfn.IFS(I51="/påbörjad h",H51*K51,I51="/tillfälle",H51,I51="/pers/påbörjad h",E51*H51*K51,I51="/pers",E51*H51,I51="/instruktör",E51*H51,I51="/instruktör/påbörjad h",E51*H51*K51,I51="/st",E51*H51,I51="/bord",E51*H51,I51="",0),0)</f>
        <v>0</v>
      </c>
      <c r="N51" s="65"/>
    </row>
    <row r="52" spans="1:14" ht="19.649999999999999" customHeight="1" x14ac:dyDescent="0.25">
      <c r="A52" s="75" t="str">
        <f>IF(Sammanställning!$S14&lt;&gt;"",Sammanställning!N14,"")</f>
        <v/>
      </c>
      <c r="B52" s="76" t="str">
        <f>IF(Sammanställning!$S14&lt;&gt;"",Sammanställning!O14,"")</f>
        <v/>
      </c>
      <c r="C52" s="77" t="str">
        <f>IF(Sammanställning!$S14&lt;&gt;"",Sammanställning!P14,"")</f>
        <v/>
      </c>
      <c r="D52" s="78" t="str">
        <f>IF(Sammanställning!$S14&lt;&gt;"",Sammanställning!Q14,"")</f>
        <v/>
      </c>
      <c r="E52" s="79" t="str">
        <f>IF(Sammanställning!$S14&lt;&gt;"",Sammanställning!R14,"")</f>
        <v/>
      </c>
      <c r="F52" s="72" t="str">
        <f>IF(Sammanställning!$S14&lt;&gt;"",Sammanställning!X14,"")</f>
        <v/>
      </c>
      <c r="G52" s="80" t="str">
        <f>IF(Sammanställning!$S14&lt;&gt;"",Sammanställning!T14,"")</f>
        <v/>
      </c>
      <c r="H52" s="97" t="str">
        <f>IF(Sammanställning!$S14&lt;&gt;"",Sammanställning!U14,"")</f>
        <v/>
      </c>
      <c r="I52" s="99" t="str">
        <f>IF(Sammanställning!$S14&lt;&gt;"",Sammanställning!V14,"")</f>
        <v/>
      </c>
      <c r="J52" s="101">
        <f t="shared" si="0"/>
        <v>0</v>
      </c>
      <c r="K52" s="103">
        <f t="shared" si="1"/>
        <v>0</v>
      </c>
      <c r="L52" s="81" cm="1">
        <f t="array" ref="L52">IFERROR(_xlfn.IFS(I52="/påbörjad h",H52*K52,I52="/tillfälle",H52,I52="/pers/påbörjad h",E52*H52*K52,I52="/pers",E52*H52,I52="/instruktör",E52*H52,I52="/instruktör/påbörjad h",E52*H52*K52,I52="/st",E52*H52,I52="/bord",E52*H52,I52="",0),0)</f>
        <v>0</v>
      </c>
      <c r="N52" s="65"/>
    </row>
    <row r="53" spans="1:14" ht="19.649999999999999" customHeight="1" x14ac:dyDescent="0.25">
      <c r="A53" s="75" t="str">
        <f>IF(Sammanställning!$S15&lt;&gt;"",Sammanställning!N15,"")</f>
        <v/>
      </c>
      <c r="B53" s="76" t="str">
        <f>IF(Sammanställning!$S15&lt;&gt;"",Sammanställning!O15,"")</f>
        <v/>
      </c>
      <c r="C53" s="77" t="str">
        <f>IF(Sammanställning!$S15&lt;&gt;"",Sammanställning!P15,"")</f>
        <v/>
      </c>
      <c r="D53" s="78" t="str">
        <f>IF(Sammanställning!$S15&lt;&gt;"",Sammanställning!Q15,"")</f>
        <v/>
      </c>
      <c r="E53" s="79" t="str">
        <f>IF(Sammanställning!$S15&lt;&gt;"",Sammanställning!R15,"")</f>
        <v/>
      </c>
      <c r="F53" s="72" t="str">
        <f>IF(Sammanställning!$S15&lt;&gt;"",Sammanställning!X15,"")</f>
        <v/>
      </c>
      <c r="G53" s="80" t="str">
        <f>IF(Sammanställning!$S15&lt;&gt;"",Sammanställning!T15,"")</f>
        <v/>
      </c>
      <c r="H53" s="97" t="str">
        <f>IF(Sammanställning!$S15&lt;&gt;"",Sammanställning!U15,"")</f>
        <v/>
      </c>
      <c r="I53" s="99" t="str">
        <f>IF(Sammanställning!$S15&lt;&gt;"",Sammanställning!V15,"")</f>
        <v/>
      </c>
      <c r="J53" s="101">
        <f t="shared" si="0"/>
        <v>0</v>
      </c>
      <c r="K53" s="103">
        <f t="shared" si="1"/>
        <v>0</v>
      </c>
      <c r="L53" s="81" cm="1">
        <f t="array" ref="L53">IFERROR(_xlfn.IFS(I53="/påbörjad h",H53*K53,I53="/tillfälle",H53,I53="/pers/påbörjad h",E53*H53*K53,I53="/pers",E53*H53,I53="/instruktör",E53*H53,I53="/instruktör/påbörjad h",E53*H53*K53,I53="/st",E53*H53,I53="/bord",E53*H53,I53="",0),0)</f>
        <v>0</v>
      </c>
      <c r="N53" s="65"/>
    </row>
    <row r="54" spans="1:14" ht="19.649999999999999" customHeight="1" x14ac:dyDescent="0.25">
      <c r="A54" s="75" t="str">
        <f>IF(Sammanställning!$S16&lt;&gt;"",Sammanställning!N16,"")</f>
        <v/>
      </c>
      <c r="B54" s="76" t="str">
        <f>IF(Sammanställning!$S16&lt;&gt;"",Sammanställning!O16,"")</f>
        <v/>
      </c>
      <c r="C54" s="77" t="str">
        <f>IF(Sammanställning!$S16&lt;&gt;"",Sammanställning!P16,"")</f>
        <v/>
      </c>
      <c r="D54" s="78" t="str">
        <f>IF(Sammanställning!$S16&lt;&gt;"",Sammanställning!Q16,"")</f>
        <v/>
      </c>
      <c r="E54" s="79" t="str">
        <f>IF(Sammanställning!$S16&lt;&gt;"",Sammanställning!R16,"")</f>
        <v/>
      </c>
      <c r="F54" s="72" t="str">
        <f>IF(Sammanställning!$S16&lt;&gt;"",Sammanställning!X16,"")</f>
        <v/>
      </c>
      <c r="G54" s="80" t="str">
        <f>IF(Sammanställning!$S16&lt;&gt;"",Sammanställning!T16,"")</f>
        <v/>
      </c>
      <c r="H54" s="97" t="str">
        <f>IF(Sammanställning!$S16&lt;&gt;"",Sammanställning!U16,"")</f>
        <v/>
      </c>
      <c r="I54" s="99" t="str">
        <f>IF(Sammanställning!$S16&lt;&gt;"",Sammanställning!V16,"")</f>
        <v/>
      </c>
      <c r="J54" s="101">
        <f t="shared" si="0"/>
        <v>0</v>
      </c>
      <c r="K54" s="103">
        <f t="shared" si="1"/>
        <v>0</v>
      </c>
      <c r="L54" s="81" cm="1">
        <f t="array" ref="L54">IFERROR(_xlfn.IFS(I54="/påbörjad h",H54*K54,I54="/tillfälle",H54,I54="/pers/påbörjad h",E54*H54*K54,I54="/pers",E54*H54,I54="/instruktör",E54*H54,I54="/instruktör/påbörjad h",E54*H54*K54,I54="/st",E54*H54,I54="/bord",E54*H54,I54="",0),0)</f>
        <v>0</v>
      </c>
      <c r="N54" s="65"/>
    </row>
    <row r="55" spans="1:14" ht="19.649999999999999" customHeight="1" x14ac:dyDescent="0.25">
      <c r="A55" s="75" t="str">
        <f>IF(Sammanställning!$S17&lt;&gt;"",Sammanställning!N17,"")</f>
        <v/>
      </c>
      <c r="B55" s="76" t="str">
        <f>IF(Sammanställning!$S17&lt;&gt;"",Sammanställning!O17,"")</f>
        <v/>
      </c>
      <c r="C55" s="77" t="str">
        <f>IF(Sammanställning!$S17&lt;&gt;"",Sammanställning!P17,"")</f>
        <v/>
      </c>
      <c r="D55" s="78" t="str">
        <f>IF(Sammanställning!$S17&lt;&gt;"",Sammanställning!Q17,"")</f>
        <v/>
      </c>
      <c r="E55" s="79" t="str">
        <f>IF(Sammanställning!$S17&lt;&gt;"",Sammanställning!R17,"")</f>
        <v/>
      </c>
      <c r="F55" s="72" t="str">
        <f>IF(Sammanställning!$S17&lt;&gt;"",Sammanställning!X17,"")</f>
        <v/>
      </c>
      <c r="G55" s="80" t="str">
        <f>IF(Sammanställning!$S17&lt;&gt;"",Sammanställning!T17,"")</f>
        <v/>
      </c>
      <c r="H55" s="97" t="str">
        <f>IF(Sammanställning!$S17&lt;&gt;"",Sammanställning!U17,"")</f>
        <v/>
      </c>
      <c r="I55" s="99" t="str">
        <f>IF(Sammanställning!$S17&lt;&gt;"",Sammanställning!V17,"")</f>
        <v/>
      </c>
      <c r="J55" s="101">
        <f t="shared" si="0"/>
        <v>0</v>
      </c>
      <c r="K55" s="103">
        <f t="shared" si="1"/>
        <v>0</v>
      </c>
      <c r="L55" s="81" cm="1">
        <f t="array" ref="L55">IFERROR(_xlfn.IFS(I55="/påbörjad h",H55*K55,I55="/tillfälle",H55,I55="/pers/påbörjad h",E55*H55*K55,I55="/pers",E55*H55,I55="/instruktör",E55*H55,I55="/instruktör/påbörjad h",E55*H55*K55,I55="/st",E55*H55,I55="/bord",E55*H55,I55="",0),0)</f>
        <v>0</v>
      </c>
      <c r="N55" s="65"/>
    </row>
    <row r="56" spans="1:14" ht="19.649999999999999" customHeight="1" x14ac:dyDescent="0.25">
      <c r="A56" s="75" t="str">
        <f>IF(Sammanställning!$S18&lt;&gt;"",Sammanställning!N18,"")</f>
        <v/>
      </c>
      <c r="B56" s="76" t="str">
        <f>IF(Sammanställning!$S18&lt;&gt;"",Sammanställning!O18,"")</f>
        <v/>
      </c>
      <c r="C56" s="77" t="str">
        <f>IF(Sammanställning!$S18&lt;&gt;"",Sammanställning!P18,"")</f>
        <v/>
      </c>
      <c r="D56" s="78" t="str">
        <f>IF(Sammanställning!$S18&lt;&gt;"",Sammanställning!Q18,"")</f>
        <v/>
      </c>
      <c r="E56" s="79" t="str">
        <f>IF(Sammanställning!$S18&lt;&gt;"",Sammanställning!R18,"")</f>
        <v/>
      </c>
      <c r="F56" s="72" t="str">
        <f>IF(Sammanställning!$S18&lt;&gt;"",Sammanställning!X18,"")</f>
        <v/>
      </c>
      <c r="G56" s="80" t="str">
        <f>IF(Sammanställning!$S18&lt;&gt;"",Sammanställning!T18,"")</f>
        <v/>
      </c>
      <c r="H56" s="97" t="str">
        <f>IF(Sammanställning!$S18&lt;&gt;"",Sammanställning!U18,"")</f>
        <v/>
      </c>
      <c r="I56" s="99" t="str">
        <f>IF(Sammanställning!$S18&lt;&gt;"",Sammanställning!V18,"")</f>
        <v/>
      </c>
      <c r="J56" s="101">
        <f t="shared" si="0"/>
        <v>0</v>
      </c>
      <c r="K56" s="103">
        <f t="shared" si="1"/>
        <v>0</v>
      </c>
      <c r="L56" s="81" cm="1">
        <f t="array" ref="L56">IFERROR(_xlfn.IFS(I56="/påbörjad h",H56*K56,I56="/tillfälle",H56,I56="/pers/påbörjad h",E56*H56*K56,I56="/pers",E56*H56,I56="/instruktör",E56*H56,I56="/instruktör/påbörjad h",E56*H56*K56,I56="/st",E56*H56,I56="/bord",E56*H56,I56="",0),0)</f>
        <v>0</v>
      </c>
      <c r="N56" s="65"/>
    </row>
    <row r="57" spans="1:14" ht="19.649999999999999" customHeight="1" x14ac:dyDescent="0.25">
      <c r="A57" s="75" t="str">
        <f>IF(Sammanställning!$S19&lt;&gt;"",Sammanställning!N19,"")</f>
        <v/>
      </c>
      <c r="B57" s="76" t="str">
        <f>IF(Sammanställning!$S19&lt;&gt;"",Sammanställning!O19,"")</f>
        <v/>
      </c>
      <c r="C57" s="77" t="str">
        <f>IF(Sammanställning!$S19&lt;&gt;"",Sammanställning!P19,"")</f>
        <v/>
      </c>
      <c r="D57" s="78" t="str">
        <f>IF(Sammanställning!$S19&lt;&gt;"",Sammanställning!Q19,"")</f>
        <v/>
      </c>
      <c r="E57" s="79" t="str">
        <f>IF(Sammanställning!$S19&lt;&gt;"",Sammanställning!R19,"")</f>
        <v/>
      </c>
      <c r="F57" s="72" t="str">
        <f>IF(Sammanställning!$S19&lt;&gt;"",Sammanställning!X19,"")</f>
        <v/>
      </c>
      <c r="G57" s="80" t="str">
        <f>IF(Sammanställning!$S19&lt;&gt;"",Sammanställning!T19,"")</f>
        <v/>
      </c>
      <c r="H57" s="97" t="str">
        <f>IF(Sammanställning!$S19&lt;&gt;"",Sammanställning!U19,"")</f>
        <v/>
      </c>
      <c r="I57" s="99" t="str">
        <f>IF(Sammanställning!$S19&lt;&gt;"",Sammanställning!V19,"")</f>
        <v/>
      </c>
      <c r="J57" s="101">
        <f t="shared" si="0"/>
        <v>0</v>
      </c>
      <c r="K57" s="103">
        <f t="shared" si="1"/>
        <v>0</v>
      </c>
      <c r="L57" s="81" cm="1">
        <f t="array" ref="L57">IFERROR(_xlfn.IFS(I57="/påbörjad h",H57*K57,I57="/tillfälle",H57,I57="/pers/påbörjad h",E57*H57*K57,I57="/pers",E57*H57,I57="/instruktör",E57*H57,I57="/instruktör/påbörjad h",E57*H57*K57,I57="/st",E57*H57,I57="/bord",E57*H57,I57="",0),0)</f>
        <v>0</v>
      </c>
      <c r="N57" s="65"/>
    </row>
    <row r="58" spans="1:14" ht="19.649999999999999" customHeight="1" x14ac:dyDescent="0.25">
      <c r="A58" s="75" t="str">
        <f>IF(Sammanställning!$S20&lt;&gt;"",Sammanställning!N20,"")</f>
        <v/>
      </c>
      <c r="B58" s="76" t="str">
        <f>IF(Sammanställning!$S20&lt;&gt;"",Sammanställning!O20,"")</f>
        <v/>
      </c>
      <c r="C58" s="77" t="str">
        <f>IF(Sammanställning!$S20&lt;&gt;"",Sammanställning!P20,"")</f>
        <v/>
      </c>
      <c r="D58" s="78" t="str">
        <f>IF(Sammanställning!$S20&lt;&gt;"",Sammanställning!Q20,"")</f>
        <v/>
      </c>
      <c r="E58" s="79" t="str">
        <f>IF(Sammanställning!$S20&lt;&gt;"",Sammanställning!R20,"")</f>
        <v/>
      </c>
      <c r="F58" s="72" t="str">
        <f>IF(Sammanställning!$S20&lt;&gt;"",Sammanställning!X20,"")</f>
        <v/>
      </c>
      <c r="G58" s="80" t="str">
        <f>IF(Sammanställning!$S20&lt;&gt;"",Sammanställning!T20,"")</f>
        <v/>
      </c>
      <c r="H58" s="97" t="str">
        <f>IF(Sammanställning!$S20&lt;&gt;"",Sammanställning!U20,"")</f>
        <v/>
      </c>
      <c r="I58" s="99" t="str">
        <f>IF(Sammanställning!$S20&lt;&gt;"",Sammanställning!V20,"")</f>
        <v/>
      </c>
      <c r="J58" s="101">
        <f t="shared" si="0"/>
        <v>0</v>
      </c>
      <c r="K58" s="103">
        <f t="shared" si="1"/>
        <v>0</v>
      </c>
      <c r="L58" s="81" cm="1">
        <f t="array" ref="L58">IFERROR(_xlfn.IFS(I58="/påbörjad h",H58*K58,I58="/tillfälle",H58,I58="/pers/påbörjad h",E58*H58*K58,I58="/pers",E58*H58,I58="/instruktör",E58*H58,I58="/instruktör/påbörjad h",E58*H58*K58,I58="/st",E58*H58,I58="/bord",E58*H58,I58="",0),0)</f>
        <v>0</v>
      </c>
      <c r="N58" s="65"/>
    </row>
    <row r="59" spans="1:14" ht="19.649999999999999" customHeight="1" x14ac:dyDescent="0.25">
      <c r="A59" s="75" t="str">
        <f>IF(Sammanställning!$S21&lt;&gt;"",Sammanställning!N21,"")</f>
        <v/>
      </c>
      <c r="B59" s="76" t="str">
        <f>IF(Sammanställning!$S21&lt;&gt;"",Sammanställning!O21,"")</f>
        <v/>
      </c>
      <c r="C59" s="77" t="str">
        <f>IF(Sammanställning!$S21&lt;&gt;"",Sammanställning!P21,"")</f>
        <v/>
      </c>
      <c r="D59" s="78" t="str">
        <f>IF(Sammanställning!$S21&lt;&gt;"",Sammanställning!Q21,"")</f>
        <v/>
      </c>
      <c r="E59" s="79" t="str">
        <f>IF(Sammanställning!$S21&lt;&gt;"",Sammanställning!R21,"")</f>
        <v/>
      </c>
      <c r="F59" s="72" t="str">
        <f>IF(Sammanställning!$S21&lt;&gt;"",Sammanställning!X21,"")</f>
        <v/>
      </c>
      <c r="G59" s="80" t="str">
        <f>IF(Sammanställning!$S21&lt;&gt;"",Sammanställning!T21,"")</f>
        <v/>
      </c>
      <c r="H59" s="97" t="str">
        <f>IF(Sammanställning!$S21&lt;&gt;"",Sammanställning!U21,"")</f>
        <v/>
      </c>
      <c r="I59" s="99" t="str">
        <f>IF(Sammanställning!$S21&lt;&gt;"",Sammanställning!V21,"")</f>
        <v/>
      </c>
      <c r="J59" s="101">
        <f t="shared" si="0"/>
        <v>0</v>
      </c>
      <c r="K59" s="103">
        <f t="shared" si="1"/>
        <v>0</v>
      </c>
      <c r="L59" s="81" cm="1">
        <f t="array" ref="L59">IFERROR(_xlfn.IFS(I59="/påbörjad h",H59*K59,I59="/tillfälle",H59,I59="/pers/påbörjad h",E59*H59*K59,I59="/pers",E59*H59,I59="/instruktör",E59*H59,I59="/instruktör/påbörjad h",E59*H59*K59,I59="/st",E59*H59,I59="/bord",E59*H59,I59="",0),0)</f>
        <v>0</v>
      </c>
      <c r="N59" s="65"/>
    </row>
    <row r="60" spans="1:14" ht="19.649999999999999" customHeight="1" x14ac:dyDescent="0.25">
      <c r="A60" s="75" t="str">
        <f>IF(Sammanställning!$S22&lt;&gt;"",Sammanställning!N22,"")</f>
        <v/>
      </c>
      <c r="B60" s="76" t="str">
        <f>IF(Sammanställning!$S22&lt;&gt;"",Sammanställning!O22,"")</f>
        <v/>
      </c>
      <c r="C60" s="77" t="str">
        <f>IF(Sammanställning!$S22&lt;&gt;"",Sammanställning!P22,"")</f>
        <v/>
      </c>
      <c r="D60" s="78" t="str">
        <f>IF(Sammanställning!$S22&lt;&gt;"",Sammanställning!Q22,"")</f>
        <v/>
      </c>
      <c r="E60" s="79" t="str">
        <f>IF(Sammanställning!$S22&lt;&gt;"",Sammanställning!R22,"")</f>
        <v/>
      </c>
      <c r="F60" s="72" t="str">
        <f>IF(Sammanställning!$S22&lt;&gt;"",Sammanställning!X22,"")</f>
        <v/>
      </c>
      <c r="G60" s="80" t="str">
        <f>IF(Sammanställning!$S22&lt;&gt;"",Sammanställning!T22,"")</f>
        <v/>
      </c>
      <c r="H60" s="97" t="str">
        <f>IF(Sammanställning!$S22&lt;&gt;"",Sammanställning!U22,"")</f>
        <v/>
      </c>
      <c r="I60" s="99" t="str">
        <f>IF(Sammanställning!$S22&lt;&gt;"",Sammanställning!V22,"")</f>
        <v/>
      </c>
      <c r="J60" s="101">
        <f t="shared" si="0"/>
        <v>0</v>
      </c>
      <c r="K60" s="103">
        <f t="shared" si="1"/>
        <v>0</v>
      </c>
      <c r="L60" s="81" cm="1">
        <f t="array" ref="L60">IFERROR(_xlfn.IFS(I60="/påbörjad h",H60*K60,I60="/tillfälle",H60,I60="/pers/påbörjad h",E60*H60*K60,I60="/pers",E60*H60,I60="/instruktör",E60*H60,I60="/instruktör/påbörjad h",E60*H60*K60,I60="/st",E60*H60,I60="/bord",E60*H60,I60="",0),0)</f>
        <v>0</v>
      </c>
      <c r="N60" s="65"/>
    </row>
    <row r="61" spans="1:14" ht="19.649999999999999" customHeight="1" x14ac:dyDescent="0.25">
      <c r="A61" s="75" t="str">
        <f>IF(Sammanställning!$S23&lt;&gt;"",Sammanställning!N23,"")</f>
        <v/>
      </c>
      <c r="B61" s="76" t="str">
        <f>IF(Sammanställning!$S23&lt;&gt;"",Sammanställning!O23,"")</f>
        <v/>
      </c>
      <c r="C61" s="77" t="str">
        <f>IF(Sammanställning!$S23&lt;&gt;"",Sammanställning!P23,"")</f>
        <v/>
      </c>
      <c r="D61" s="78" t="str">
        <f>IF(Sammanställning!$S23&lt;&gt;"",Sammanställning!Q23,"")</f>
        <v/>
      </c>
      <c r="E61" s="79" t="str">
        <f>IF(Sammanställning!$S23&lt;&gt;"",Sammanställning!R23,"")</f>
        <v/>
      </c>
      <c r="F61" s="72" t="str">
        <f>IF(Sammanställning!$S23&lt;&gt;"",Sammanställning!X23,"")</f>
        <v/>
      </c>
      <c r="G61" s="80" t="str">
        <f>IF(Sammanställning!$S23&lt;&gt;"",Sammanställning!T23,"")</f>
        <v/>
      </c>
      <c r="H61" s="97" t="str">
        <f>IF(Sammanställning!$S23&lt;&gt;"",Sammanställning!U23,"")</f>
        <v/>
      </c>
      <c r="I61" s="99" t="str">
        <f>IF(Sammanställning!$S23&lt;&gt;"",Sammanställning!V23,"")</f>
        <v/>
      </c>
      <c r="J61" s="101">
        <f t="shared" si="0"/>
        <v>0</v>
      </c>
      <c r="K61" s="103">
        <f t="shared" si="1"/>
        <v>0</v>
      </c>
      <c r="L61" s="81" cm="1">
        <f t="array" ref="L61">IFERROR(_xlfn.IFS(I61="/påbörjad h",H61*K61,I61="/tillfälle",H61,I61="/pers/påbörjad h",E61*H61*K61,I61="/pers",E61*H61,I61="/instruktör",E61*H61,I61="/instruktör/påbörjad h",E61*H61*K61,I61="/st",E61*H61,I61="/bord",E61*H61,I61="",0),0)</f>
        <v>0</v>
      </c>
      <c r="N61" s="65"/>
    </row>
    <row r="62" spans="1:14" ht="19.649999999999999" customHeight="1" x14ac:dyDescent="0.25">
      <c r="A62" s="75" t="str">
        <f>IF(Sammanställning!$S24&lt;&gt;"",Sammanställning!N24,"")</f>
        <v/>
      </c>
      <c r="B62" s="76" t="str">
        <f>IF(Sammanställning!$S24&lt;&gt;"",Sammanställning!O24,"")</f>
        <v/>
      </c>
      <c r="C62" s="77" t="str">
        <f>IF(Sammanställning!$S24&lt;&gt;"",Sammanställning!P24,"")</f>
        <v/>
      </c>
      <c r="D62" s="78" t="str">
        <f>IF(Sammanställning!$S24&lt;&gt;"",Sammanställning!Q24,"")</f>
        <v/>
      </c>
      <c r="E62" s="79" t="str">
        <f>IF(Sammanställning!$S24&lt;&gt;"",Sammanställning!R24,"")</f>
        <v/>
      </c>
      <c r="F62" s="72" t="str">
        <f>IF(Sammanställning!$S24&lt;&gt;"",Sammanställning!X24,"")</f>
        <v/>
      </c>
      <c r="G62" s="80" t="str">
        <f>IF(Sammanställning!$S24&lt;&gt;"",Sammanställning!T24,"")</f>
        <v/>
      </c>
      <c r="H62" s="97" t="str">
        <f>IF(Sammanställning!$S24&lt;&gt;"",Sammanställning!U24,"")</f>
        <v/>
      </c>
      <c r="I62" s="99" t="str">
        <f>IF(Sammanställning!$S24&lt;&gt;"",Sammanställning!V24,"")</f>
        <v/>
      </c>
      <c r="J62" s="101">
        <f t="shared" si="0"/>
        <v>0</v>
      </c>
      <c r="K62" s="103">
        <f t="shared" si="1"/>
        <v>0</v>
      </c>
      <c r="L62" s="81" cm="1">
        <f t="array" ref="L62">IFERROR(_xlfn.IFS(I62="/påbörjad h",H62*K62,I62="/tillfälle",H62,I62="/pers/påbörjad h",E62*H62*K62,I62="/pers",E62*H62,I62="/instruktör",E62*H62,I62="/instruktör/påbörjad h",E62*H62*K62,I62="/st",E62*H62,I62="/bord",E62*H62,I62="",0),0)</f>
        <v>0</v>
      </c>
      <c r="N62" s="65"/>
    </row>
    <row r="63" spans="1:14" ht="19.649999999999999" customHeight="1" x14ac:dyDescent="0.25">
      <c r="A63" s="75" t="str">
        <f>IF(Sammanställning!$S25&lt;&gt;"",Sammanställning!N25,"")</f>
        <v/>
      </c>
      <c r="B63" s="76" t="str">
        <f>IF(Sammanställning!$S25&lt;&gt;"",Sammanställning!O25,"")</f>
        <v/>
      </c>
      <c r="C63" s="77" t="str">
        <f>IF(Sammanställning!$S25&lt;&gt;"",Sammanställning!P25,"")</f>
        <v/>
      </c>
      <c r="D63" s="78" t="str">
        <f>IF(Sammanställning!$S25&lt;&gt;"",Sammanställning!Q25,"")</f>
        <v/>
      </c>
      <c r="E63" s="79" t="str">
        <f>IF(Sammanställning!$S25&lt;&gt;"",Sammanställning!R25,"")</f>
        <v/>
      </c>
      <c r="F63" s="72" t="str">
        <f>IF(Sammanställning!$S25&lt;&gt;"",Sammanställning!X25,"")</f>
        <v/>
      </c>
      <c r="G63" s="80" t="str">
        <f>IF(Sammanställning!$S25&lt;&gt;"",Sammanställning!T25,"")</f>
        <v/>
      </c>
      <c r="H63" s="97" t="str">
        <f>IF(Sammanställning!$S25&lt;&gt;"",Sammanställning!U25,"")</f>
        <v/>
      </c>
      <c r="I63" s="99" t="str">
        <f>IF(Sammanställning!$S25&lt;&gt;"",Sammanställning!V25,"")</f>
        <v/>
      </c>
      <c r="J63" s="101">
        <f t="shared" si="0"/>
        <v>0</v>
      </c>
      <c r="K63" s="103">
        <f t="shared" si="1"/>
        <v>0</v>
      </c>
      <c r="L63" s="81" cm="1">
        <f t="array" ref="L63">IFERROR(_xlfn.IFS(I63="/påbörjad h",H63*K63,I63="/tillfälle",H63,I63="/pers/påbörjad h",E63*H63*K63,I63="/pers",E63*H63,I63="/instruktör",E63*H63,I63="/instruktör/påbörjad h",E63*H63*K63,I63="/st",E63*H63,I63="/bord",E63*H63,I63="",0),0)</f>
        <v>0</v>
      </c>
      <c r="N63" s="65"/>
    </row>
    <row r="64" spans="1:14" ht="19.649999999999999" customHeight="1" x14ac:dyDescent="0.25">
      <c r="A64" s="75" t="str">
        <f>IF(Sammanställning!$S26&lt;&gt;"",Sammanställning!N26,"")</f>
        <v/>
      </c>
      <c r="B64" s="76" t="str">
        <f>IF(Sammanställning!$S26&lt;&gt;"",Sammanställning!O26,"")</f>
        <v/>
      </c>
      <c r="C64" s="77" t="str">
        <f>IF(Sammanställning!$S26&lt;&gt;"",Sammanställning!P26,"")</f>
        <v/>
      </c>
      <c r="D64" s="78" t="str">
        <f>IF(Sammanställning!$S26&lt;&gt;"",Sammanställning!Q26,"")</f>
        <v/>
      </c>
      <c r="E64" s="79" t="str">
        <f>IF(Sammanställning!$S26&lt;&gt;"",Sammanställning!R26,"")</f>
        <v/>
      </c>
      <c r="F64" s="72" t="str">
        <f>IF(Sammanställning!$S26&lt;&gt;"",Sammanställning!X26,"")</f>
        <v/>
      </c>
      <c r="G64" s="80" t="str">
        <f>IF(Sammanställning!$S26&lt;&gt;"",Sammanställning!T26,"")</f>
        <v/>
      </c>
      <c r="H64" s="97" t="str">
        <f>IF(Sammanställning!$S26&lt;&gt;"",Sammanställning!U26,"")</f>
        <v/>
      </c>
      <c r="I64" s="99" t="str">
        <f>IF(Sammanställning!$S26&lt;&gt;"",Sammanställning!V26,"")</f>
        <v/>
      </c>
      <c r="J64" s="101">
        <f t="shared" si="0"/>
        <v>0</v>
      </c>
      <c r="K64" s="103">
        <f t="shared" si="1"/>
        <v>0</v>
      </c>
      <c r="L64" s="81" cm="1">
        <f t="array" ref="L64">IFERROR(_xlfn.IFS(I64="/påbörjad h",H64*K64,I64="/tillfälle",H64,I64="/pers/påbörjad h",E64*H64*K64,I64="/pers",E64*H64,I64="/instruktör",E64*H64,I64="/instruktör/påbörjad h",E64*H64*K64,I64="/st",E64*H64,I64="/bord",E64*H64,I64="",0),0)</f>
        <v>0</v>
      </c>
      <c r="N64" s="65"/>
    </row>
    <row r="65" spans="1:14" ht="19.649999999999999" customHeight="1" x14ac:dyDescent="0.25">
      <c r="A65" s="75" t="str">
        <f>IF(Sammanställning!$S27&lt;&gt;"",Sammanställning!N27,"")</f>
        <v/>
      </c>
      <c r="B65" s="76" t="str">
        <f>IF(Sammanställning!$S27&lt;&gt;"",Sammanställning!O27,"")</f>
        <v/>
      </c>
      <c r="C65" s="77" t="str">
        <f>IF(Sammanställning!$S27&lt;&gt;"",Sammanställning!P27,"")</f>
        <v/>
      </c>
      <c r="D65" s="78" t="str">
        <f>IF(Sammanställning!$S27&lt;&gt;"",Sammanställning!Q27,"")</f>
        <v/>
      </c>
      <c r="E65" s="79" t="str">
        <f>IF(Sammanställning!$S27&lt;&gt;"",Sammanställning!R27,"")</f>
        <v/>
      </c>
      <c r="F65" s="72" t="str">
        <f>IF(Sammanställning!$S27&lt;&gt;"",Sammanställning!X27,"")</f>
        <v/>
      </c>
      <c r="G65" s="80" t="str">
        <f>IF(Sammanställning!$S27&lt;&gt;"",Sammanställning!T27,"")</f>
        <v/>
      </c>
      <c r="H65" s="97" t="str">
        <f>IF(Sammanställning!$S27&lt;&gt;"",Sammanställning!U27,"")</f>
        <v/>
      </c>
      <c r="I65" s="99" t="str">
        <f>IF(Sammanställning!$S27&lt;&gt;"",Sammanställning!V27,"")</f>
        <v/>
      </c>
      <c r="J65" s="101">
        <f t="shared" si="0"/>
        <v>0</v>
      </c>
      <c r="K65" s="103">
        <f t="shared" si="1"/>
        <v>0</v>
      </c>
      <c r="L65" s="81" cm="1">
        <f t="array" ref="L65">IFERROR(_xlfn.IFS(I65="/påbörjad h",H65*K65,I65="/tillfälle",H65,I65="/pers/påbörjad h",E65*H65*K65,I65="/pers",E65*H65,I65="/instruktör",E65*H65,I65="/instruktör/påbörjad h",E65*H65*K65,I65="/st",E65*H65,I65="/bord",E65*H65,I65="",0),0)</f>
        <v>0</v>
      </c>
      <c r="N65" s="65"/>
    </row>
    <row r="66" spans="1:14" ht="19.649999999999999" customHeight="1" x14ac:dyDescent="0.25">
      <c r="A66" s="75" t="str">
        <f>IF(Sammanställning!$S28&lt;&gt;"",Sammanställning!N28,"")</f>
        <v/>
      </c>
      <c r="B66" s="76" t="str">
        <f>IF(Sammanställning!$S28&lt;&gt;"",Sammanställning!O28,"")</f>
        <v/>
      </c>
      <c r="C66" s="77" t="str">
        <f>IF(Sammanställning!$S28&lt;&gt;"",Sammanställning!P28,"")</f>
        <v/>
      </c>
      <c r="D66" s="78" t="str">
        <f>IF(Sammanställning!$S28&lt;&gt;"",Sammanställning!Q28,"")</f>
        <v/>
      </c>
      <c r="E66" s="79" t="str">
        <f>IF(Sammanställning!$S28&lt;&gt;"",Sammanställning!R28,"")</f>
        <v/>
      </c>
      <c r="F66" s="72" t="str">
        <f>IF(Sammanställning!$S28&lt;&gt;"",Sammanställning!X28,"")</f>
        <v/>
      </c>
      <c r="G66" s="80" t="str">
        <f>IF(Sammanställning!$S28&lt;&gt;"",Sammanställning!T28,"")</f>
        <v/>
      </c>
      <c r="H66" s="97" t="str">
        <f>IF(Sammanställning!$S28&lt;&gt;"",Sammanställning!U28,"")</f>
        <v/>
      </c>
      <c r="I66" s="99" t="str">
        <f>IF(Sammanställning!$S28&lt;&gt;"",Sammanställning!V28,"")</f>
        <v/>
      </c>
      <c r="J66" s="101">
        <f t="shared" si="0"/>
        <v>0</v>
      </c>
      <c r="K66" s="103">
        <f t="shared" si="1"/>
        <v>0</v>
      </c>
      <c r="L66" s="81" cm="1">
        <f t="array" ref="L66">IFERROR(_xlfn.IFS(I66="/påbörjad h",H66*K66,I66="/tillfälle",H66,I66="/pers/påbörjad h",E66*H66*K66,I66="/pers",E66*H66,I66="/instruktör",E66*H66,I66="/instruktör/påbörjad h",E66*H66*K66,I66="/st",E66*H66,I66="/bord",E66*H66,I66="",0),0)</f>
        <v>0</v>
      </c>
      <c r="N66" s="65"/>
    </row>
    <row r="67" spans="1:14" ht="19.649999999999999" customHeight="1" x14ac:dyDescent="0.25">
      <c r="A67" s="75" t="str">
        <f>IF(Sammanställning!$S29&lt;&gt;"",Sammanställning!N29,"")</f>
        <v/>
      </c>
      <c r="B67" s="76" t="str">
        <f>IF(Sammanställning!$S29&lt;&gt;"",Sammanställning!O29,"")</f>
        <v/>
      </c>
      <c r="C67" s="77" t="str">
        <f>IF(Sammanställning!$S29&lt;&gt;"",Sammanställning!P29,"")</f>
        <v/>
      </c>
      <c r="D67" s="78" t="str">
        <f>IF(Sammanställning!$S29&lt;&gt;"",Sammanställning!Q29,"")</f>
        <v/>
      </c>
      <c r="E67" s="79" t="str">
        <f>IF(Sammanställning!$S29&lt;&gt;"",Sammanställning!R29,"")</f>
        <v/>
      </c>
      <c r="F67" s="72" t="str">
        <f>IF(Sammanställning!$S29&lt;&gt;"",Sammanställning!X29,"")</f>
        <v/>
      </c>
      <c r="G67" s="80" t="str">
        <f>IF(Sammanställning!$S29&lt;&gt;"",Sammanställning!T29,"")</f>
        <v/>
      </c>
      <c r="H67" s="97" t="str">
        <f>IF(Sammanställning!$S29&lt;&gt;"",Sammanställning!U29,"")</f>
        <v/>
      </c>
      <c r="I67" s="99" t="str">
        <f>IF(Sammanställning!$S29&lt;&gt;"",Sammanställning!V29,"")</f>
        <v/>
      </c>
      <c r="J67" s="101">
        <f t="shared" si="0"/>
        <v>0</v>
      </c>
      <c r="K67" s="103">
        <f t="shared" si="1"/>
        <v>0</v>
      </c>
      <c r="L67" s="81" cm="1">
        <f t="array" ref="L67">IFERROR(_xlfn.IFS(I67="/påbörjad h",H67*K67,I67="/tillfälle",H67,I67="/pers/påbörjad h",E67*H67*K67,I67="/pers",E67*H67,I67="/instruktör",E67*H67,I67="/instruktör/påbörjad h",E67*H67*K67,I67="/st",E67*H67,I67="/bord",E67*H67,I67="",0),0)</f>
        <v>0</v>
      </c>
      <c r="N67" s="65"/>
    </row>
    <row r="68" spans="1:14" ht="19.649999999999999" customHeight="1" x14ac:dyDescent="0.25">
      <c r="A68" s="75" t="str">
        <f>IF(Sammanställning!$S30&lt;&gt;"",Sammanställning!N30,"")</f>
        <v/>
      </c>
      <c r="B68" s="76" t="str">
        <f>IF(Sammanställning!$S30&lt;&gt;"",Sammanställning!O30,"")</f>
        <v/>
      </c>
      <c r="C68" s="77" t="str">
        <f>IF(Sammanställning!$S30&lt;&gt;"",Sammanställning!P30,"")</f>
        <v/>
      </c>
      <c r="D68" s="78" t="str">
        <f>IF(Sammanställning!$S30&lt;&gt;"",Sammanställning!Q30,"")</f>
        <v/>
      </c>
      <c r="E68" s="79" t="str">
        <f>IF(Sammanställning!$S30&lt;&gt;"",Sammanställning!R30,"")</f>
        <v/>
      </c>
      <c r="F68" s="72" t="str">
        <f>IF(Sammanställning!$S30&lt;&gt;"",Sammanställning!X30,"")</f>
        <v/>
      </c>
      <c r="G68" s="80" t="str">
        <f>IF(Sammanställning!$S30&lt;&gt;"",Sammanställning!T30,"")</f>
        <v/>
      </c>
      <c r="H68" s="97" t="str">
        <f>IF(Sammanställning!$S30&lt;&gt;"",Sammanställning!U30,"")</f>
        <v/>
      </c>
      <c r="I68" s="99" t="str">
        <f>IF(Sammanställning!$S30&lt;&gt;"",Sammanställning!V30,"")</f>
        <v/>
      </c>
      <c r="J68" s="101">
        <f t="shared" si="0"/>
        <v>0</v>
      </c>
      <c r="K68" s="103">
        <f t="shared" si="1"/>
        <v>0</v>
      </c>
      <c r="L68" s="81" cm="1">
        <f t="array" ref="L68">IFERROR(_xlfn.IFS(I68="/påbörjad h",H68*K68,I68="/tillfälle",H68,I68="/pers/påbörjad h",E68*H68*K68,I68="/pers",E68*H68,I68="/instruktör",E68*H68,I68="/instruktör/påbörjad h",E68*H68*K68,I68="/st",E68*H68,I68="/bord",E68*H68,I68="",0),0)</f>
        <v>0</v>
      </c>
      <c r="N68" s="65"/>
    </row>
    <row r="69" spans="1:14" ht="19.649999999999999" customHeight="1" x14ac:dyDescent="0.25">
      <c r="A69" s="75" t="str">
        <f>IF(Sammanställning!$S31&lt;&gt;"",Sammanställning!N31,"")</f>
        <v/>
      </c>
      <c r="B69" s="76" t="str">
        <f>IF(Sammanställning!$S31&lt;&gt;"",Sammanställning!O31,"")</f>
        <v/>
      </c>
      <c r="C69" s="77" t="str">
        <f>IF(Sammanställning!$S31&lt;&gt;"",Sammanställning!P31,"")</f>
        <v/>
      </c>
      <c r="D69" s="78" t="str">
        <f>IF(Sammanställning!$S31&lt;&gt;"",Sammanställning!Q31,"")</f>
        <v/>
      </c>
      <c r="E69" s="79" t="str">
        <f>IF(Sammanställning!$S31&lt;&gt;"",Sammanställning!R31,"")</f>
        <v/>
      </c>
      <c r="F69" s="72" t="str">
        <f>IF(Sammanställning!$S31&lt;&gt;"",Sammanställning!X31,"")</f>
        <v/>
      </c>
      <c r="G69" s="80" t="str">
        <f>IF(Sammanställning!$S31&lt;&gt;"",Sammanställning!T31,"")</f>
        <v/>
      </c>
      <c r="H69" s="97" t="str">
        <f>IF(Sammanställning!$S31&lt;&gt;"",Sammanställning!U31,"")</f>
        <v/>
      </c>
      <c r="I69" s="99" t="str">
        <f>IF(Sammanställning!$S31&lt;&gt;"",Sammanställning!V31,"")</f>
        <v/>
      </c>
      <c r="J69" s="101">
        <f t="shared" si="0"/>
        <v>0</v>
      </c>
      <c r="K69" s="103">
        <f t="shared" si="1"/>
        <v>0</v>
      </c>
      <c r="L69" s="81" cm="1">
        <f t="array" ref="L69">IFERROR(_xlfn.IFS(I69="/påbörjad h",H69*K69,I69="/tillfälle",H69,I69="/pers/påbörjad h",E69*H69*K69,I69="/pers",E69*H69,I69="/instruktör",E69*H69,I69="/instruktör/påbörjad h",E69*H69*K69,I69="/st",E69*H69,I69="/bord",E69*H69,I69="",0),0)</f>
        <v>0</v>
      </c>
      <c r="N69" s="65"/>
    </row>
    <row r="70" spans="1:14" ht="19.649999999999999" hidden="1" customHeight="1" x14ac:dyDescent="0.25">
      <c r="A70" s="75" t="str">
        <f>IF(Sammanställning!$S32&lt;&gt;"",Sammanställning!N32,"")</f>
        <v/>
      </c>
      <c r="B70" s="76" t="str">
        <f>IF(Sammanställning!$S32&lt;&gt;"",Sammanställning!O32,"")</f>
        <v/>
      </c>
      <c r="C70" s="77" t="str">
        <f>IF(Sammanställning!$S32&lt;&gt;"",Sammanställning!P32,"")</f>
        <v/>
      </c>
      <c r="D70" s="78" t="str">
        <f>IF(Sammanställning!$S32&lt;&gt;"",Sammanställning!Q32,"")</f>
        <v/>
      </c>
      <c r="E70" s="79" t="str">
        <f>IF(Sammanställning!$S32&lt;&gt;"",Sammanställning!R32,"")</f>
        <v/>
      </c>
      <c r="F70" s="72" t="str">
        <f>IF(Sammanställning!$S32&lt;&gt;"",Sammanställning!X32,"")</f>
        <v/>
      </c>
      <c r="G70" s="80" t="str">
        <f>IF(Sammanställning!$S32&lt;&gt;"",Sammanställning!T32,"")</f>
        <v/>
      </c>
      <c r="H70" s="97" t="str">
        <f>IF(Sammanställning!$S32&lt;&gt;"",Sammanställning!U32,"")</f>
        <v/>
      </c>
      <c r="I70" s="99" t="str">
        <f>IF(Sammanställning!$S32&lt;&gt;"",Sammanställning!V32,"")</f>
        <v/>
      </c>
      <c r="J70" s="101">
        <f t="shared" si="0"/>
        <v>0</v>
      </c>
      <c r="K70" s="103">
        <f t="shared" si="1"/>
        <v>0</v>
      </c>
      <c r="L70" s="81" cm="1">
        <f t="array" ref="L70">IFERROR(_xlfn.IFS(I70="/påbörjad h",H70*K70,I70="/tillfälle",H70,I70="/pers/påbörjad h",E70*H70*K70,I70="/pers",E70*H70,I70="/instruktör",E70*H70,I70="/instruktör/påbörjad h",E70*H70*K70,I70="/st",E70*H70,I70="/bord",E70*H70,I70="",0),0)</f>
        <v>0</v>
      </c>
      <c r="N70" s="65"/>
    </row>
    <row r="71" spans="1:14" ht="19.649999999999999" hidden="1" customHeight="1" x14ac:dyDescent="0.25">
      <c r="A71" s="75" t="str">
        <f>IF(Sammanställning!$S33&lt;&gt;"",Sammanställning!N33,"")</f>
        <v/>
      </c>
      <c r="B71" s="76" t="str">
        <f>IF(Sammanställning!$S33&lt;&gt;"",Sammanställning!O33,"")</f>
        <v/>
      </c>
      <c r="C71" s="77" t="str">
        <f>IF(Sammanställning!$S33&lt;&gt;"",Sammanställning!P33,"")</f>
        <v/>
      </c>
      <c r="D71" s="78" t="str">
        <f>IF(Sammanställning!$S33&lt;&gt;"",Sammanställning!Q33,"")</f>
        <v/>
      </c>
      <c r="E71" s="79" t="str">
        <f>IF(Sammanställning!$S33&lt;&gt;"",Sammanställning!R33,"")</f>
        <v/>
      </c>
      <c r="F71" s="72" t="str">
        <f>IF(Sammanställning!$S33&lt;&gt;"",Sammanställning!X33,"")</f>
        <v/>
      </c>
      <c r="G71" s="80" t="str">
        <f>IF(Sammanställning!$S33&lt;&gt;"",Sammanställning!T33,"")</f>
        <v/>
      </c>
      <c r="H71" s="97" t="str">
        <f>IF(Sammanställning!$S33&lt;&gt;"",Sammanställning!U33,"")</f>
        <v/>
      </c>
      <c r="I71" s="99" t="str">
        <f>IF(Sammanställning!$S33&lt;&gt;"",Sammanställning!V33,"")</f>
        <v/>
      </c>
      <c r="J71" s="101">
        <f t="shared" si="0"/>
        <v>0</v>
      </c>
      <c r="K71" s="103">
        <f t="shared" si="1"/>
        <v>0</v>
      </c>
      <c r="L71" s="81" cm="1">
        <f t="array" ref="L71">IFERROR(_xlfn.IFS(I71="/påbörjad h",H71*K71,I71="/tillfälle",H71,I71="/pers/påbörjad h",E71*H71*K71,I71="/pers",E71*H71,I71="/instruktör",E71*H71,I71="/instruktör/påbörjad h",E71*H71*K71,I71="/st",E71*H71,I71="/bord",E71*H71,I71="",0),0)</f>
        <v>0</v>
      </c>
    </row>
    <row r="72" spans="1:14" ht="19.649999999999999" hidden="1" customHeight="1" x14ac:dyDescent="0.25">
      <c r="A72" s="75" t="str">
        <f>IF(Sammanställning!$S34&lt;&gt;"",Sammanställning!N34,"")</f>
        <v/>
      </c>
      <c r="B72" s="76" t="str">
        <f>IF(Sammanställning!$S34&lt;&gt;"",Sammanställning!O34,"")</f>
        <v/>
      </c>
      <c r="C72" s="77" t="str">
        <f>IF(Sammanställning!$S34&lt;&gt;"",Sammanställning!P34,"")</f>
        <v/>
      </c>
      <c r="D72" s="78" t="str">
        <f>IF(Sammanställning!$S34&lt;&gt;"",Sammanställning!Q34,"")</f>
        <v/>
      </c>
      <c r="E72" s="79" t="str">
        <f>IF(Sammanställning!$S34&lt;&gt;"",Sammanställning!R34,"")</f>
        <v/>
      </c>
      <c r="F72" s="72" t="str">
        <f>IF(Sammanställning!$S34&lt;&gt;"",Sammanställning!X34,"")</f>
        <v/>
      </c>
      <c r="G72" s="80" t="str">
        <f>IF(Sammanställning!$S34&lt;&gt;"",Sammanställning!T34,"")</f>
        <v/>
      </c>
      <c r="H72" s="97" t="str">
        <f>IF(Sammanställning!$S34&lt;&gt;"",Sammanställning!U34,"")</f>
        <v/>
      </c>
      <c r="I72" s="99" t="str">
        <f>IF(Sammanställning!$S34&lt;&gt;"",Sammanställning!V34,"")</f>
        <v/>
      </c>
      <c r="J72" s="101">
        <f t="shared" si="0"/>
        <v>0</v>
      </c>
      <c r="K72" s="103">
        <f t="shared" si="1"/>
        <v>0</v>
      </c>
      <c r="L72" s="81" cm="1">
        <f t="array" ref="L72">IFERROR(_xlfn.IFS(I72="/påbörjad h",H72*K72,I72="/tillfälle",H72,I72="/pers/påbörjad h",E72*H72*K72,I72="/pers",E72*H72,I72="/instruktör",E72*H72,I72="/instruktör/påbörjad h",E72*H72*K72,I72="/st",E72*H72,I72="/bord",E72*H72,I72="",0),0)</f>
        <v>0</v>
      </c>
    </row>
    <row r="73" spans="1:14" ht="19.649999999999999" hidden="1" customHeight="1" x14ac:dyDescent="0.25">
      <c r="A73" s="75" t="str">
        <f>IF(Sammanställning!$S35&lt;&gt;"",Sammanställning!N35,"")</f>
        <v/>
      </c>
      <c r="B73" s="76" t="str">
        <f>IF(Sammanställning!$S35&lt;&gt;"",Sammanställning!O35,"")</f>
        <v/>
      </c>
      <c r="C73" s="77" t="str">
        <f>IF(Sammanställning!$S35&lt;&gt;"",Sammanställning!P35,"")</f>
        <v/>
      </c>
      <c r="D73" s="78" t="str">
        <f>IF(Sammanställning!$S35&lt;&gt;"",Sammanställning!Q35,"")</f>
        <v/>
      </c>
      <c r="E73" s="79" t="str">
        <f>IF(Sammanställning!$S35&lt;&gt;"",Sammanställning!R35,"")</f>
        <v/>
      </c>
      <c r="F73" s="72" t="str">
        <f>IF(Sammanställning!$S35&lt;&gt;"",Sammanställning!X35,"")</f>
        <v/>
      </c>
      <c r="G73" s="80" t="str">
        <f>IF(Sammanställning!$S35&lt;&gt;"",Sammanställning!T35,"")</f>
        <v/>
      </c>
      <c r="H73" s="97" t="str">
        <f>IF(Sammanställning!$S35&lt;&gt;"",Sammanställning!U35,"")</f>
        <v/>
      </c>
      <c r="I73" s="99" t="str">
        <f>IF(Sammanställning!$S35&lt;&gt;"",Sammanställning!V35,"")</f>
        <v/>
      </c>
      <c r="J73" s="101">
        <f t="shared" si="0"/>
        <v>0</v>
      </c>
      <c r="K73" s="103">
        <f t="shared" si="1"/>
        <v>0</v>
      </c>
      <c r="L73" s="81" cm="1">
        <f t="array" ref="L73">IFERROR(_xlfn.IFS(I73="/påbörjad h",H73*K73,I73="/tillfälle",H73,I73="/pers/påbörjad h",E73*H73*K73,I73="/pers",E73*H73,I73="/instruktör",E73*H73,I73="/instruktör/påbörjad h",E73*H73*K73,I73="/st",E73*H73,I73="/bord",E73*H73,I73="",0),0)</f>
        <v>0</v>
      </c>
    </row>
    <row r="74" spans="1:14" ht="19.649999999999999" hidden="1" customHeight="1" x14ac:dyDescent="0.25">
      <c r="A74" s="75" t="str">
        <f>IF(Sammanställning!$S36&lt;&gt;"",Sammanställning!N36,"")</f>
        <v/>
      </c>
      <c r="B74" s="76" t="str">
        <f>IF(Sammanställning!$S36&lt;&gt;"",Sammanställning!O36,"")</f>
        <v/>
      </c>
      <c r="C74" s="77" t="str">
        <f>IF(Sammanställning!$S36&lt;&gt;"",Sammanställning!P36,"")</f>
        <v/>
      </c>
      <c r="D74" s="78" t="str">
        <f>IF(Sammanställning!$S36&lt;&gt;"",Sammanställning!Q36,"")</f>
        <v/>
      </c>
      <c r="E74" s="79" t="str">
        <f>IF(Sammanställning!$S36&lt;&gt;"",Sammanställning!R36,"")</f>
        <v/>
      </c>
      <c r="F74" s="72" t="str">
        <f>IF(Sammanställning!$S36&lt;&gt;"",Sammanställning!X36,"")</f>
        <v/>
      </c>
      <c r="G74" s="80" t="str">
        <f>IF(Sammanställning!$S36&lt;&gt;"",Sammanställning!T36,"")</f>
        <v/>
      </c>
      <c r="H74" s="97" t="str">
        <f>IF(Sammanställning!$S36&lt;&gt;"",Sammanställning!U36,"")</f>
        <v/>
      </c>
      <c r="I74" s="99" t="str">
        <f>IF(Sammanställning!$S36&lt;&gt;"",Sammanställning!V36,"")</f>
        <v/>
      </c>
      <c r="J74" s="101">
        <f t="shared" si="0"/>
        <v>0</v>
      </c>
      <c r="K74" s="103">
        <f t="shared" si="1"/>
        <v>0</v>
      </c>
      <c r="L74" s="81" cm="1">
        <f t="array" ref="L74">IFERROR(_xlfn.IFS(I74="/påbörjad h",H74*K74,I74="/tillfälle",H74,I74="/pers/påbörjad h",E74*H74*K74,I74="/pers",E74*H74,I74="/instruktör",E74*H74,I74="/instruktör/påbörjad h",E74*H74*K74,I74="/st",E74*H74,I74="/bord",E74*H74,I74="",0),0)</f>
        <v>0</v>
      </c>
    </row>
    <row r="75" spans="1:14" ht="19.649999999999999" hidden="1" customHeight="1" x14ac:dyDescent="0.25">
      <c r="A75" s="75" t="str">
        <f>IF(Sammanställning!$S37&lt;&gt;"",Sammanställning!N37,"")</f>
        <v/>
      </c>
      <c r="B75" s="76" t="str">
        <f>IF(Sammanställning!$S37&lt;&gt;"",Sammanställning!O37,"")</f>
        <v/>
      </c>
      <c r="C75" s="77" t="str">
        <f>IF(Sammanställning!$S37&lt;&gt;"",Sammanställning!P37,"")</f>
        <v/>
      </c>
      <c r="D75" s="78" t="str">
        <f>IF(Sammanställning!$S37&lt;&gt;"",Sammanställning!Q37,"")</f>
        <v/>
      </c>
      <c r="E75" s="79" t="str">
        <f>IF(Sammanställning!$S37&lt;&gt;"",Sammanställning!R37,"")</f>
        <v/>
      </c>
      <c r="F75" s="72" t="str">
        <f>IF(Sammanställning!$S37&lt;&gt;"",Sammanställning!X37,"")</f>
        <v/>
      </c>
      <c r="G75" s="80" t="str">
        <f>IF(Sammanställning!$S37&lt;&gt;"",Sammanställning!T37,"")</f>
        <v/>
      </c>
      <c r="H75" s="97" t="str">
        <f>IF(Sammanställning!$S37&lt;&gt;"",Sammanställning!U37,"")</f>
        <v/>
      </c>
      <c r="I75" s="99" t="str">
        <f>IF(Sammanställning!$S37&lt;&gt;"",Sammanställning!V37,"")</f>
        <v/>
      </c>
      <c r="J75" s="101">
        <f t="shared" si="0"/>
        <v>0</v>
      </c>
      <c r="K75" s="103">
        <f t="shared" si="1"/>
        <v>0</v>
      </c>
      <c r="L75" s="81" cm="1">
        <f t="array" ref="L75">IFERROR(_xlfn.IFS(I75="/påbörjad h",H75*K75,I75="/tillfälle",H75,I75="/pers/påbörjad h",E75*H75*K75,I75="/pers",E75*H75,I75="/instruktör",E75*H75,I75="/instruktör/påbörjad h",E75*H75*K75,I75="/st",E75*H75,I75="/bord",E75*H75,I75="",0),0)</f>
        <v>0</v>
      </c>
    </row>
    <row r="76" spans="1:14" ht="19.649999999999999" hidden="1" customHeight="1" x14ac:dyDescent="0.25">
      <c r="A76" s="75" t="str">
        <f>IF(Sammanställning!$S38&lt;&gt;"",Sammanställning!N38,"")</f>
        <v/>
      </c>
      <c r="B76" s="76" t="str">
        <f>IF(Sammanställning!$S38&lt;&gt;"",Sammanställning!O38,"")</f>
        <v/>
      </c>
      <c r="C76" s="77" t="str">
        <f>IF(Sammanställning!$S38&lt;&gt;"",Sammanställning!P38,"")</f>
        <v/>
      </c>
      <c r="D76" s="78" t="str">
        <f>IF(Sammanställning!$S38&lt;&gt;"",Sammanställning!Q38,"")</f>
        <v/>
      </c>
      <c r="E76" s="79" t="str">
        <f>IF(Sammanställning!$S38&lt;&gt;"",Sammanställning!R38,"")</f>
        <v/>
      </c>
      <c r="F76" s="72" t="str">
        <f>IF(Sammanställning!$S38&lt;&gt;"",Sammanställning!X38,"")</f>
        <v/>
      </c>
      <c r="G76" s="80" t="str">
        <f>IF(Sammanställning!$S38&lt;&gt;"",Sammanställning!T38,"")</f>
        <v/>
      </c>
      <c r="H76" s="97" t="str">
        <f>IF(Sammanställning!$S38&lt;&gt;"",Sammanställning!U38,"")</f>
        <v/>
      </c>
      <c r="I76" s="99" t="str">
        <f>IF(Sammanställning!$S38&lt;&gt;"",Sammanställning!V38,"")</f>
        <v/>
      </c>
      <c r="J76" s="101">
        <f t="shared" si="0"/>
        <v>0</v>
      </c>
      <c r="K76" s="103">
        <f t="shared" si="1"/>
        <v>0</v>
      </c>
      <c r="L76" s="81" cm="1">
        <f t="array" ref="L76">IFERROR(_xlfn.IFS(I76="/påbörjad h",H76*K76,I76="/tillfälle",H76,I76="/pers/påbörjad h",E76*H76*K76,I76="/pers",E76*H76,I76="/instruktör",E76*H76,I76="/instruktör/påbörjad h",E76*H76*K76,I76="/st",E76*H76,I76="/bord",E76*H76,I76="",0),0)</f>
        <v>0</v>
      </c>
    </row>
    <row r="77" spans="1:14" ht="19.649999999999999" hidden="1" customHeight="1" x14ac:dyDescent="0.25">
      <c r="A77" s="75" t="str">
        <f>IF(Sammanställning!$S39&lt;&gt;"",Sammanställning!N39,"")</f>
        <v/>
      </c>
      <c r="B77" s="76" t="str">
        <f>IF(Sammanställning!$S39&lt;&gt;"",Sammanställning!O39,"")</f>
        <v/>
      </c>
      <c r="C77" s="77" t="str">
        <f>IF(Sammanställning!$S39&lt;&gt;"",Sammanställning!P39,"")</f>
        <v/>
      </c>
      <c r="D77" s="78" t="str">
        <f>IF(Sammanställning!$S39&lt;&gt;"",Sammanställning!Q39,"")</f>
        <v/>
      </c>
      <c r="E77" s="79" t="str">
        <f>IF(Sammanställning!$S39&lt;&gt;"",Sammanställning!R39,"")</f>
        <v/>
      </c>
      <c r="F77" s="72" t="str">
        <f>IF(Sammanställning!$S39&lt;&gt;"",Sammanställning!X39,"")</f>
        <v/>
      </c>
      <c r="G77" s="80" t="str">
        <f>IF(Sammanställning!$S39&lt;&gt;"",Sammanställning!T39,"")</f>
        <v/>
      </c>
      <c r="H77" s="97" t="str">
        <f>IF(Sammanställning!$S39&lt;&gt;"",Sammanställning!U39,"")</f>
        <v/>
      </c>
      <c r="I77" s="99" t="str">
        <f>IF(Sammanställning!$S39&lt;&gt;"",Sammanställning!V39,"")</f>
        <v/>
      </c>
      <c r="J77" s="101">
        <f t="shared" si="0"/>
        <v>0</v>
      </c>
      <c r="K77" s="103">
        <f t="shared" si="1"/>
        <v>0</v>
      </c>
      <c r="L77" s="81" cm="1">
        <f t="array" ref="L77">IFERROR(_xlfn.IFS(I77="/påbörjad h",H77*K77,I77="/tillfälle",H77,I77="/pers/påbörjad h",E77*H77*K77,I77="/pers",E77*H77,I77="/instruktör",E77*H77,I77="/instruktör/påbörjad h",E77*H77*K77,I77="/st",E77*H77,I77="/bord",E77*H77,I77="",0),0)</f>
        <v>0</v>
      </c>
    </row>
    <row r="78" spans="1:14" ht="19.649999999999999" hidden="1" customHeight="1" x14ac:dyDescent="0.25">
      <c r="A78" s="75" t="str">
        <f>IF(Sammanställning!$S40&lt;&gt;"",Sammanställning!N40,"")</f>
        <v/>
      </c>
      <c r="B78" s="76" t="str">
        <f>IF(Sammanställning!$S40&lt;&gt;"",Sammanställning!O40,"")</f>
        <v/>
      </c>
      <c r="C78" s="77" t="str">
        <f>IF(Sammanställning!$S40&lt;&gt;"",Sammanställning!P40,"")</f>
        <v/>
      </c>
      <c r="D78" s="78" t="str">
        <f>IF(Sammanställning!$S40&lt;&gt;"",Sammanställning!Q40,"")</f>
        <v/>
      </c>
      <c r="E78" s="79" t="str">
        <f>IF(Sammanställning!$S40&lt;&gt;"",Sammanställning!R40,"")</f>
        <v/>
      </c>
      <c r="F78" s="72" t="str">
        <f>IF(Sammanställning!$S40&lt;&gt;"",Sammanställning!X40,"")</f>
        <v/>
      </c>
      <c r="G78" s="80" t="str">
        <f>IF(Sammanställning!$S40&lt;&gt;"",Sammanställning!T40,"")</f>
        <v/>
      </c>
      <c r="H78" s="97" t="str">
        <f>IF(Sammanställning!$S40&lt;&gt;"",Sammanställning!U40,"")</f>
        <v/>
      </c>
      <c r="I78" s="99" t="str">
        <f>IF(Sammanställning!$S40&lt;&gt;"",Sammanställning!V40,"")</f>
        <v/>
      </c>
      <c r="J78" s="101">
        <f t="shared" si="0"/>
        <v>0</v>
      </c>
      <c r="K78" s="103">
        <f t="shared" si="1"/>
        <v>0</v>
      </c>
      <c r="L78" s="81" cm="1">
        <f t="array" ref="L78">IFERROR(_xlfn.IFS(I78="/påbörjad h",H78*K78,I78="/tillfälle",H78,I78="/pers/påbörjad h",E78*H78*K78,I78="/pers",E78*H78,I78="/instruktör",E78*H78,I78="/instruktör/påbörjad h",E78*H78*K78,I78="/st",E78*H78,I78="/bord",E78*H78,I78="",0),0)</f>
        <v>0</v>
      </c>
    </row>
    <row r="79" spans="1:14" ht="19.649999999999999" hidden="1" customHeight="1" x14ac:dyDescent="0.25">
      <c r="A79" s="75" t="str">
        <f>IF(Sammanställning!$S41&lt;&gt;"",Sammanställning!N41,"")</f>
        <v/>
      </c>
      <c r="B79" s="76" t="str">
        <f>IF(Sammanställning!$S41&lt;&gt;"",Sammanställning!O41,"")</f>
        <v/>
      </c>
      <c r="C79" s="77" t="str">
        <f>IF(Sammanställning!$S41&lt;&gt;"",Sammanställning!P41,"")</f>
        <v/>
      </c>
      <c r="D79" s="78" t="str">
        <f>IF(Sammanställning!$S41&lt;&gt;"",Sammanställning!Q41,"")</f>
        <v/>
      </c>
      <c r="E79" s="79" t="str">
        <f>IF(Sammanställning!$S41&lt;&gt;"",Sammanställning!R41,"")</f>
        <v/>
      </c>
      <c r="F79" s="72" t="str">
        <f>IF(Sammanställning!$S41&lt;&gt;"",Sammanställning!X41,"")</f>
        <v/>
      </c>
      <c r="G79" s="80" t="str">
        <f>IF(Sammanställning!$S41&lt;&gt;"",Sammanställning!T41,"")</f>
        <v/>
      </c>
      <c r="H79" s="97" t="str">
        <f>IF(Sammanställning!$S41&lt;&gt;"",Sammanställning!U41,"")</f>
        <v/>
      </c>
      <c r="I79" s="99" t="str">
        <f>IF(Sammanställning!$S41&lt;&gt;"",Sammanställning!V41,"")</f>
        <v/>
      </c>
      <c r="J79" s="101">
        <f t="shared" si="0"/>
        <v>0</v>
      </c>
      <c r="K79" s="103">
        <f t="shared" si="1"/>
        <v>0</v>
      </c>
      <c r="L79" s="81" cm="1">
        <f t="array" ref="L79">IFERROR(_xlfn.IFS(I79="/påbörjad h",H79*K79,I79="/tillfälle",H79,I79="/pers/påbörjad h",E79*H79*K79,I79="/pers",E79*H79,I79="/instruktör",E79*H79,I79="/instruktör/påbörjad h",E79*H79*K79,I79="/st",E79*H79,I79="/bord",E79*H79,I79="",0),0)</f>
        <v>0</v>
      </c>
    </row>
    <row r="80" spans="1:14" ht="19.649999999999999" hidden="1" customHeight="1" x14ac:dyDescent="0.25">
      <c r="A80" s="75" t="str">
        <f>IF(Sammanställning!$S42&lt;&gt;"",Sammanställning!N42,"")</f>
        <v/>
      </c>
      <c r="B80" s="76" t="str">
        <f>IF(Sammanställning!$S42&lt;&gt;"",Sammanställning!O42,"")</f>
        <v/>
      </c>
      <c r="C80" s="77" t="str">
        <f>IF(Sammanställning!$S42&lt;&gt;"",Sammanställning!P42,"")</f>
        <v/>
      </c>
      <c r="D80" s="78" t="str">
        <f>IF(Sammanställning!$S42&lt;&gt;"",Sammanställning!Q42,"")</f>
        <v/>
      </c>
      <c r="E80" s="79" t="str">
        <f>IF(Sammanställning!$S42&lt;&gt;"",Sammanställning!R42,"")</f>
        <v/>
      </c>
      <c r="F80" s="72" t="str">
        <f>IF(Sammanställning!$S42&lt;&gt;"",Sammanställning!X42,"")</f>
        <v/>
      </c>
      <c r="G80" s="80" t="str">
        <f>IF(Sammanställning!$S42&lt;&gt;"",Sammanställning!T42,"")</f>
        <v/>
      </c>
      <c r="H80" s="97" t="str">
        <f>IF(Sammanställning!$S42&lt;&gt;"",Sammanställning!U42,"")</f>
        <v/>
      </c>
      <c r="I80" s="99" t="str">
        <f>IF(Sammanställning!$S42&lt;&gt;"",Sammanställning!V42,"")</f>
        <v/>
      </c>
      <c r="J80" s="101">
        <f t="shared" si="0"/>
        <v>0</v>
      </c>
      <c r="K80" s="103">
        <f t="shared" si="1"/>
        <v>0</v>
      </c>
      <c r="L80" s="81" cm="1">
        <f t="array" ref="L80">IFERROR(_xlfn.IFS(I80="/påbörjad h",H80*K80,I80="/tillfälle",H80,I80="/pers/påbörjad h",E80*H80*K80,I80="/pers",E80*H80,I80="/instruktör",E80*H80,I80="/instruktör/påbörjad h",E80*H80*K80,I80="/st",E80*H80,I80="/bord",E80*H80,I80="",0),0)</f>
        <v>0</v>
      </c>
    </row>
    <row r="81" spans="1:12" ht="19.649999999999999" hidden="1" customHeight="1" x14ac:dyDescent="0.25">
      <c r="A81" s="75" t="str">
        <f>IF(Sammanställning!$S43&lt;&gt;"",Sammanställning!N43,"")</f>
        <v/>
      </c>
      <c r="B81" s="76" t="str">
        <f>IF(Sammanställning!$S43&lt;&gt;"",Sammanställning!O43,"")</f>
        <v/>
      </c>
      <c r="C81" s="77" t="str">
        <f>IF(Sammanställning!$S43&lt;&gt;"",Sammanställning!P43,"")</f>
        <v/>
      </c>
      <c r="D81" s="78" t="str">
        <f>IF(Sammanställning!$S43&lt;&gt;"",Sammanställning!Q43,"")</f>
        <v/>
      </c>
      <c r="E81" s="79" t="str">
        <f>IF(Sammanställning!$S43&lt;&gt;"",Sammanställning!R43,"")</f>
        <v/>
      </c>
      <c r="F81" s="72" t="str">
        <f>IF(Sammanställning!$S43&lt;&gt;"",Sammanställning!X43,"")</f>
        <v/>
      </c>
      <c r="G81" s="80" t="str">
        <f>IF(Sammanställning!$S43&lt;&gt;"",Sammanställning!T43,"")</f>
        <v/>
      </c>
      <c r="H81" s="97" t="str">
        <f>IF(Sammanställning!$S43&lt;&gt;"",Sammanställning!U43,"")</f>
        <v/>
      </c>
      <c r="I81" s="99" t="str">
        <f>IF(Sammanställning!$S43&lt;&gt;"",Sammanställning!V43,"")</f>
        <v/>
      </c>
      <c r="J81" s="101">
        <f t="shared" si="0"/>
        <v>0</v>
      </c>
      <c r="K81" s="103">
        <f t="shared" si="1"/>
        <v>0</v>
      </c>
      <c r="L81" s="81" cm="1">
        <f t="array" ref="L81">IFERROR(_xlfn.IFS(I81="/påbörjad h",H81*K81,I81="/tillfälle",H81,I81="/pers/påbörjad h",E81*H81*K81,I81="/pers",E81*H81,I81="/instruktör",E81*H81,I81="/instruktör/påbörjad h",E81*H81*K81,I81="/st",E81*H81,I81="/bord",E81*H81,I81="",0),0)</f>
        <v>0</v>
      </c>
    </row>
    <row r="82" spans="1:12" ht="19.649999999999999" hidden="1" customHeight="1" x14ac:dyDescent="0.25">
      <c r="A82" s="75" t="str">
        <f>IF(Sammanställning!$S44&lt;&gt;"",Sammanställning!N44,"")</f>
        <v/>
      </c>
      <c r="B82" s="76" t="str">
        <f>IF(Sammanställning!$S44&lt;&gt;"",Sammanställning!O44,"")</f>
        <v/>
      </c>
      <c r="C82" s="77" t="str">
        <f>IF(Sammanställning!$S44&lt;&gt;"",Sammanställning!P44,"")</f>
        <v/>
      </c>
      <c r="D82" s="78" t="str">
        <f>IF(Sammanställning!$S44&lt;&gt;"",Sammanställning!Q44,"")</f>
        <v/>
      </c>
      <c r="E82" s="79" t="str">
        <f>IF(Sammanställning!$S44&lt;&gt;"",Sammanställning!R44,"")</f>
        <v/>
      </c>
      <c r="F82" s="72" t="str">
        <f>IF(Sammanställning!$S44&lt;&gt;"",Sammanställning!X44,"")</f>
        <v/>
      </c>
      <c r="G82" s="80" t="str">
        <f>IF(Sammanställning!$S44&lt;&gt;"",Sammanställning!T44,"")</f>
        <v/>
      </c>
      <c r="H82" s="97" t="str">
        <f>IF(Sammanställning!$S44&lt;&gt;"",Sammanställning!U44,"")</f>
        <v/>
      </c>
      <c r="I82" s="99" t="str">
        <f>IF(Sammanställning!$S44&lt;&gt;"",Sammanställning!V44,"")</f>
        <v/>
      </c>
      <c r="J82" s="101">
        <f t="shared" si="0"/>
        <v>0</v>
      </c>
      <c r="K82" s="103">
        <f t="shared" si="1"/>
        <v>0</v>
      </c>
      <c r="L82" s="81" cm="1">
        <f t="array" ref="L82">IFERROR(_xlfn.IFS(I82="/påbörjad h",H82*K82,I82="/tillfälle",H82,I82="/pers/påbörjad h",E82*H82*K82,I82="/pers",E82*H82,I82="/instruktör",E82*H82,I82="/instruktör/påbörjad h",E82*H82*K82,I82="/st",E82*H82,I82="/bord",E82*H82,I82="",0),0)</f>
        <v>0</v>
      </c>
    </row>
    <row r="83" spans="1:12" ht="19.649999999999999" hidden="1" customHeight="1" x14ac:dyDescent="0.25">
      <c r="A83" s="75" t="str">
        <f>IF(Sammanställning!$S45&lt;&gt;"",Sammanställning!N45,"")</f>
        <v/>
      </c>
      <c r="B83" s="76" t="str">
        <f>IF(Sammanställning!$S45&lt;&gt;"",Sammanställning!O45,"")</f>
        <v/>
      </c>
      <c r="C83" s="77" t="str">
        <f>IF(Sammanställning!$S45&lt;&gt;"",Sammanställning!P45,"")</f>
        <v/>
      </c>
      <c r="D83" s="78" t="str">
        <f>IF(Sammanställning!$S45&lt;&gt;"",Sammanställning!Q45,"")</f>
        <v/>
      </c>
      <c r="E83" s="79" t="str">
        <f>IF(Sammanställning!$S45&lt;&gt;"",Sammanställning!R45,"")</f>
        <v/>
      </c>
      <c r="F83" s="72" t="str">
        <f>IF(Sammanställning!$S45&lt;&gt;"",Sammanställning!X45,"")</f>
        <v/>
      </c>
      <c r="G83" s="80" t="str">
        <f>IF(Sammanställning!$S45&lt;&gt;"",Sammanställning!T45,"")</f>
        <v/>
      </c>
      <c r="H83" s="97" t="str">
        <f>IF(Sammanställning!$S45&lt;&gt;"",Sammanställning!U45,"")</f>
        <v/>
      </c>
      <c r="I83" s="99" t="str">
        <f>IF(Sammanställning!$S45&lt;&gt;"",Sammanställning!V45,"")</f>
        <v/>
      </c>
      <c r="J83" s="101">
        <f t="shared" si="0"/>
        <v>0</v>
      </c>
      <c r="K83" s="103">
        <f t="shared" si="1"/>
        <v>0</v>
      </c>
      <c r="L83" s="81" cm="1">
        <f t="array" ref="L83">IFERROR(_xlfn.IFS(I83="/påbörjad h",H83*K83,I83="/tillfälle",H83,I83="/pers/påbörjad h",E83*H83*K83,I83="/pers",E83*H83,I83="/instruktör",E83*H83,I83="/instruktör/påbörjad h",E83*H83*K83,I83="/st",E83*H83,I83="/bord",E83*H83,I83="",0),0)</f>
        <v>0</v>
      </c>
    </row>
    <row r="84" spans="1:12" ht="19.649999999999999" hidden="1" customHeight="1" x14ac:dyDescent="0.25">
      <c r="A84" s="75" t="str">
        <f>IF(Sammanställning!$S46&lt;&gt;"",Sammanställning!N46,"")</f>
        <v/>
      </c>
      <c r="B84" s="76" t="str">
        <f>IF(Sammanställning!$S46&lt;&gt;"",Sammanställning!O46,"")</f>
        <v/>
      </c>
      <c r="C84" s="77" t="str">
        <f>IF(Sammanställning!$S46&lt;&gt;"",Sammanställning!P46,"")</f>
        <v/>
      </c>
      <c r="D84" s="78" t="str">
        <f>IF(Sammanställning!$S46&lt;&gt;"",Sammanställning!Q46,"")</f>
        <v/>
      </c>
      <c r="E84" s="79" t="str">
        <f>IF(Sammanställning!$S46&lt;&gt;"",Sammanställning!R46,"")</f>
        <v/>
      </c>
      <c r="F84" s="72" t="str">
        <f>IF(Sammanställning!$S46&lt;&gt;"",Sammanställning!X46,"")</f>
        <v/>
      </c>
      <c r="G84" s="80" t="str">
        <f>IF(Sammanställning!$S46&lt;&gt;"",Sammanställning!T46,"")</f>
        <v/>
      </c>
      <c r="H84" s="97" t="str">
        <f>IF(Sammanställning!$S46&lt;&gt;"",Sammanställning!U46,"")</f>
        <v/>
      </c>
      <c r="I84" s="99" t="str">
        <f>IF(Sammanställning!$S46&lt;&gt;"",Sammanställning!V46,"")</f>
        <v/>
      </c>
      <c r="J84" s="101">
        <f t="shared" si="0"/>
        <v>0</v>
      </c>
      <c r="K84" s="103">
        <f t="shared" si="1"/>
        <v>0</v>
      </c>
      <c r="L84" s="81" cm="1">
        <f t="array" ref="L84">IFERROR(_xlfn.IFS(I84="/påbörjad h",H84*K84,I84="/tillfälle",H84,I84="/pers/påbörjad h",E84*H84*K84,I84="/pers",E84*H84,I84="/instruktör",E84*H84,I84="/instruktör/påbörjad h",E84*H84*K84,I84="/st",E84*H84,I84="/bord",E84*H84,I84="",0),0)</f>
        <v>0</v>
      </c>
    </row>
    <row r="85" spans="1:12" ht="19.649999999999999" hidden="1" customHeight="1" x14ac:dyDescent="0.25">
      <c r="A85" s="75" t="str">
        <f>IF(Sammanställning!$S47&lt;&gt;"",Sammanställning!N47,"")</f>
        <v/>
      </c>
      <c r="B85" s="76" t="str">
        <f>IF(Sammanställning!$S47&lt;&gt;"",Sammanställning!O47,"")</f>
        <v/>
      </c>
      <c r="C85" s="77" t="str">
        <f>IF(Sammanställning!$S47&lt;&gt;"",Sammanställning!P47,"")</f>
        <v/>
      </c>
      <c r="D85" s="78" t="str">
        <f>IF(Sammanställning!$S47&lt;&gt;"",Sammanställning!Q47,"")</f>
        <v/>
      </c>
      <c r="E85" s="79" t="str">
        <f>IF(Sammanställning!$S47&lt;&gt;"",Sammanställning!R47,"")</f>
        <v/>
      </c>
      <c r="F85" s="72" t="str">
        <f>IF(Sammanställning!$S47&lt;&gt;"",Sammanställning!X47,"")</f>
        <v/>
      </c>
      <c r="G85" s="80" t="str">
        <f>IF(Sammanställning!$S47&lt;&gt;"",Sammanställning!T47,"")</f>
        <v/>
      </c>
      <c r="H85" s="97" t="str">
        <f>IF(Sammanställning!$S47&lt;&gt;"",Sammanställning!U47,"")</f>
        <v/>
      </c>
      <c r="I85" s="99" t="str">
        <f>IF(Sammanställning!$S47&lt;&gt;"",Sammanställning!V47,"")</f>
        <v/>
      </c>
      <c r="J85" s="101">
        <f t="shared" si="0"/>
        <v>0</v>
      </c>
      <c r="K85" s="103">
        <f t="shared" si="1"/>
        <v>0</v>
      </c>
      <c r="L85" s="81" cm="1">
        <f t="array" ref="L85">IFERROR(_xlfn.IFS(I85="/påbörjad h",H85*K85,I85="/tillfälle",H85,I85="/pers/påbörjad h",E85*H85*K85,I85="/pers",E85*H85,I85="/instruktör",E85*H85,I85="/instruktör/påbörjad h",E85*H85*K85,I85="/st",E85*H85,I85="/bord",E85*H85,I85="",0),0)</f>
        <v>0</v>
      </c>
    </row>
    <row r="86" spans="1:12" ht="19.649999999999999" hidden="1" customHeight="1" x14ac:dyDescent="0.25">
      <c r="A86" s="75" t="str">
        <f>IF(Sammanställning!$S48&lt;&gt;"",Sammanställning!N48,"")</f>
        <v/>
      </c>
      <c r="B86" s="76" t="str">
        <f>IF(Sammanställning!$S48&lt;&gt;"",Sammanställning!O48,"")</f>
        <v/>
      </c>
      <c r="C86" s="77" t="str">
        <f>IF(Sammanställning!$S48&lt;&gt;"",Sammanställning!P48,"")</f>
        <v/>
      </c>
      <c r="D86" s="78" t="str">
        <f>IF(Sammanställning!$S48&lt;&gt;"",Sammanställning!Q48,"")</f>
        <v/>
      </c>
      <c r="E86" s="79" t="str">
        <f>IF(Sammanställning!$S48&lt;&gt;"",Sammanställning!R48,"")</f>
        <v/>
      </c>
      <c r="F86" s="72" t="str">
        <f>IF(Sammanställning!$S48&lt;&gt;"",Sammanställning!X48,"")</f>
        <v/>
      </c>
      <c r="G86" s="80" t="str">
        <f>IF(Sammanställning!$S48&lt;&gt;"",Sammanställning!T48,"")</f>
        <v/>
      </c>
      <c r="H86" s="97" t="str">
        <f>IF(Sammanställning!$S48&lt;&gt;"",Sammanställning!U48,"")</f>
        <v/>
      </c>
      <c r="I86" s="99" t="str">
        <f>IF(Sammanställning!$S48&lt;&gt;"",Sammanställning!V48,"")</f>
        <v/>
      </c>
      <c r="J86" s="101">
        <f t="shared" si="0"/>
        <v>0</v>
      </c>
      <c r="K86" s="103">
        <f t="shared" si="1"/>
        <v>0</v>
      </c>
      <c r="L86" s="81" cm="1">
        <f t="array" ref="L86">IFERROR(_xlfn.IFS(I86="/påbörjad h",H86*K86,I86="/tillfälle",H86,I86="/pers/påbörjad h",E86*H86*K86,I86="/pers",E86*H86,I86="/instruktör",E86*H86,I86="/instruktör/påbörjad h",E86*H86*K86,I86="/st",E86*H86,I86="/bord",E86*H86,I86="",0),0)</f>
        <v>0</v>
      </c>
    </row>
    <row r="87" spans="1:12" ht="19.649999999999999" hidden="1" customHeight="1" x14ac:dyDescent="0.25">
      <c r="A87" s="75" t="str">
        <f>IF(Sammanställning!$S49&lt;&gt;"",Sammanställning!N49,"")</f>
        <v/>
      </c>
      <c r="B87" s="76" t="str">
        <f>IF(Sammanställning!$S49&lt;&gt;"",Sammanställning!O49,"")</f>
        <v/>
      </c>
      <c r="C87" s="77" t="str">
        <f>IF(Sammanställning!$S49&lt;&gt;"",Sammanställning!P49,"")</f>
        <v/>
      </c>
      <c r="D87" s="78" t="str">
        <f>IF(Sammanställning!$S49&lt;&gt;"",Sammanställning!Q49,"")</f>
        <v/>
      </c>
      <c r="E87" s="79" t="str">
        <f>IF(Sammanställning!$S49&lt;&gt;"",Sammanställning!R49,"")</f>
        <v/>
      </c>
      <c r="F87" s="72" t="str">
        <f>IF(Sammanställning!$S49&lt;&gt;"",Sammanställning!X49,"")</f>
        <v/>
      </c>
      <c r="G87" s="80" t="str">
        <f>IF(Sammanställning!$S49&lt;&gt;"",Sammanställning!T49,"")</f>
        <v/>
      </c>
      <c r="H87" s="97" t="str">
        <f>IF(Sammanställning!$S49&lt;&gt;"",Sammanställning!U49,"")</f>
        <v/>
      </c>
      <c r="I87" s="99" t="str">
        <f>IF(Sammanställning!$S49&lt;&gt;"",Sammanställning!V49,"")</f>
        <v/>
      </c>
      <c r="J87" s="101">
        <f t="shared" si="0"/>
        <v>0</v>
      </c>
      <c r="K87" s="103">
        <f t="shared" si="1"/>
        <v>0</v>
      </c>
      <c r="L87" s="81" cm="1">
        <f t="array" ref="L87">IFERROR(_xlfn.IFS(I87="/påbörjad h",H87*K87,I87="/tillfälle",H87,I87="/pers/påbörjad h",E87*H87*K87,I87="/pers",E87*H87,I87="/instruktör",E87*H87,I87="/instruktör/påbörjad h",E87*H87*K87,I87="/st",E87*H87,I87="/bord",E87*H87,I87="",0),0)</f>
        <v>0</v>
      </c>
    </row>
    <row r="88" spans="1:12" ht="19.649999999999999" hidden="1" customHeight="1" x14ac:dyDescent="0.25">
      <c r="A88" s="75" t="str">
        <f>IF(Sammanställning!$S50&lt;&gt;"",Sammanställning!N50,"")</f>
        <v/>
      </c>
      <c r="B88" s="76" t="str">
        <f>IF(Sammanställning!$S50&lt;&gt;"",Sammanställning!O50,"")</f>
        <v/>
      </c>
      <c r="C88" s="77" t="str">
        <f>IF(Sammanställning!$S50&lt;&gt;"",Sammanställning!P50,"")</f>
        <v/>
      </c>
      <c r="D88" s="78" t="str">
        <f>IF(Sammanställning!$S50&lt;&gt;"",Sammanställning!Q50,"")</f>
        <v/>
      </c>
      <c r="E88" s="79" t="str">
        <f>IF(Sammanställning!$S50&lt;&gt;"",Sammanställning!R50,"")</f>
        <v/>
      </c>
      <c r="F88" s="72" t="str">
        <f>IF(Sammanställning!$S50&lt;&gt;"",Sammanställning!X50,"")</f>
        <v/>
      </c>
      <c r="G88" s="80" t="str">
        <f>IF(Sammanställning!$S50&lt;&gt;"",Sammanställning!T50,"")</f>
        <v/>
      </c>
      <c r="H88" s="97" t="str">
        <f>IF(Sammanställning!$S50&lt;&gt;"",Sammanställning!U50,"")</f>
        <v/>
      </c>
      <c r="I88" s="99" t="str">
        <f>IF(Sammanställning!$S50&lt;&gt;"",Sammanställning!V50,"")</f>
        <v/>
      </c>
      <c r="J88" s="101">
        <f t="shared" si="0"/>
        <v>0</v>
      </c>
      <c r="K88" s="103">
        <f t="shared" si="1"/>
        <v>0</v>
      </c>
      <c r="L88" s="81" cm="1">
        <f t="array" ref="L88">IFERROR(_xlfn.IFS(I88="/påbörjad h",H88*K88,I88="/tillfälle",H88,I88="/pers/påbörjad h",E88*H88*K88,I88="/pers",E88*H88,I88="/instruktör",E88*H88,I88="/instruktör/påbörjad h",E88*H88*K88,I88="/st",E88*H88,I88="/bord",E88*H88,I88="",0),0)</f>
        <v>0</v>
      </c>
    </row>
    <row r="89" spans="1:12" ht="19.649999999999999" hidden="1" customHeight="1" x14ac:dyDescent="0.25">
      <c r="A89" s="75" t="str">
        <f>IF(Sammanställning!$S51&lt;&gt;"",Sammanställning!N51,"")</f>
        <v/>
      </c>
      <c r="B89" s="76" t="str">
        <f>IF(Sammanställning!$S51&lt;&gt;"",Sammanställning!O51,"")</f>
        <v/>
      </c>
      <c r="C89" s="77" t="str">
        <f>IF(Sammanställning!$S51&lt;&gt;"",Sammanställning!P51,"")</f>
        <v/>
      </c>
      <c r="D89" s="78" t="str">
        <f>IF(Sammanställning!$S51&lt;&gt;"",Sammanställning!Q51,"")</f>
        <v/>
      </c>
      <c r="E89" s="79" t="str">
        <f>IF(Sammanställning!$S51&lt;&gt;"",Sammanställning!R51,"")</f>
        <v/>
      </c>
      <c r="F89" s="72" t="str">
        <f>IF(Sammanställning!$S51&lt;&gt;"",Sammanställning!X51,"")</f>
        <v/>
      </c>
      <c r="G89" s="80" t="str">
        <f>IF(Sammanställning!$S51&lt;&gt;"",Sammanställning!T51,"")</f>
        <v/>
      </c>
      <c r="H89" s="97" t="str">
        <f>IF(Sammanställning!$S51&lt;&gt;"",Sammanställning!U51,"")</f>
        <v/>
      </c>
      <c r="I89" s="99" t="str">
        <f>IF(Sammanställning!$S51&lt;&gt;"",Sammanställning!V51,"")</f>
        <v/>
      </c>
      <c r="J89" s="101">
        <f t="shared" si="0"/>
        <v>0</v>
      </c>
      <c r="K89" s="103">
        <f t="shared" si="1"/>
        <v>0</v>
      </c>
      <c r="L89" s="81" cm="1">
        <f t="array" ref="L89">IFERROR(_xlfn.IFS(I89="/påbörjad h",H89*K89,I89="/tillfälle",H89,I89="/pers/påbörjad h",E89*H89*K89,I89="/pers",E89*H89,I89="/instruktör",E89*H89,I89="/instruktör/påbörjad h",E89*H89*K89,I89="/st",E89*H89,I89="/bord",E89*H89,I89="",0),0)</f>
        <v>0</v>
      </c>
    </row>
    <row r="90" spans="1:12" ht="19.649999999999999" hidden="1" customHeight="1" x14ac:dyDescent="0.25">
      <c r="A90" s="75" t="str">
        <f>IF(Sammanställning!$S52&lt;&gt;"",Sammanställning!N52,"")</f>
        <v/>
      </c>
      <c r="B90" s="76" t="str">
        <f>IF(Sammanställning!$S52&lt;&gt;"",Sammanställning!O52,"")</f>
        <v/>
      </c>
      <c r="C90" s="77" t="str">
        <f>IF(Sammanställning!$S52&lt;&gt;"",Sammanställning!P52,"")</f>
        <v/>
      </c>
      <c r="D90" s="78" t="str">
        <f>IF(Sammanställning!$S52&lt;&gt;"",Sammanställning!Q52,"")</f>
        <v/>
      </c>
      <c r="E90" s="79" t="str">
        <f>IF(Sammanställning!$S52&lt;&gt;"",Sammanställning!R52,"")</f>
        <v/>
      </c>
      <c r="F90" s="72" t="str">
        <f>IF(Sammanställning!$S52&lt;&gt;"",Sammanställning!X52,"")</f>
        <v/>
      </c>
      <c r="G90" s="80" t="str">
        <f>IF(Sammanställning!$S52&lt;&gt;"",Sammanställning!T52,"")</f>
        <v/>
      </c>
      <c r="H90" s="97" t="str">
        <f>IF(Sammanställning!$S52&lt;&gt;"",Sammanställning!U52,"")</f>
        <v/>
      </c>
      <c r="I90" s="99" t="str">
        <f>IF(Sammanställning!$S52&lt;&gt;"",Sammanställning!V52,"")</f>
        <v/>
      </c>
      <c r="J90" s="101">
        <f t="shared" si="0"/>
        <v>0</v>
      </c>
      <c r="K90" s="103">
        <f t="shared" si="1"/>
        <v>0</v>
      </c>
      <c r="L90" s="81" cm="1">
        <f t="array" ref="L90">IFERROR(_xlfn.IFS(I90="/påbörjad h",H90*K90,I90="/tillfälle",H90,I90="/pers/påbörjad h",E90*H90*K90,I90="/pers",E90*H90,I90="/instruktör",E90*H90,I90="/instruktör/påbörjad h",E90*H90*K90,I90="/st",E90*H90,I90="/bord",E90*H90,I90="",0),0)</f>
        <v>0</v>
      </c>
    </row>
    <row r="91" spans="1:12" ht="19.649999999999999" hidden="1" customHeight="1" x14ac:dyDescent="0.25">
      <c r="A91" s="75" t="str">
        <f>IF(Sammanställning!$S53&lt;&gt;"",Sammanställning!N53,"")</f>
        <v/>
      </c>
      <c r="B91" s="76" t="str">
        <f>IF(Sammanställning!$S53&lt;&gt;"",Sammanställning!O53,"")</f>
        <v/>
      </c>
      <c r="C91" s="77" t="str">
        <f>IF(Sammanställning!$S53&lt;&gt;"",Sammanställning!P53,"")</f>
        <v/>
      </c>
      <c r="D91" s="78" t="str">
        <f>IF(Sammanställning!$S53&lt;&gt;"",Sammanställning!Q53,"")</f>
        <v/>
      </c>
      <c r="E91" s="79" t="str">
        <f>IF(Sammanställning!$S53&lt;&gt;"",Sammanställning!R53,"")</f>
        <v/>
      </c>
      <c r="F91" s="72" t="str">
        <f>IF(Sammanställning!$S53&lt;&gt;"",Sammanställning!X53,"")</f>
        <v/>
      </c>
      <c r="G91" s="80" t="str">
        <f>IF(Sammanställning!$S53&lt;&gt;"",Sammanställning!T53,"")</f>
        <v/>
      </c>
      <c r="H91" s="97" t="str">
        <f>IF(Sammanställning!$S53&lt;&gt;"",Sammanställning!U53,"")</f>
        <v/>
      </c>
      <c r="I91" s="99" t="str">
        <f>IF(Sammanställning!$S53&lt;&gt;"",Sammanställning!V53,"")</f>
        <v/>
      </c>
      <c r="J91" s="101">
        <f t="shared" si="0"/>
        <v>0</v>
      </c>
      <c r="K91" s="103">
        <f t="shared" si="1"/>
        <v>0</v>
      </c>
      <c r="L91" s="81" cm="1">
        <f t="array" ref="L91">IFERROR(_xlfn.IFS(I91="/påbörjad h",H91*K91,I91="/tillfälle",H91,I91="/pers/påbörjad h",E91*H91*K91,I91="/pers",E91*H91,I91="/instruktör",E91*H91,I91="/instruktör/påbörjad h",E91*H91*K91,I91="/st",E91*H91,I91="/bord",E91*H91,I91="",0),0)</f>
        <v>0</v>
      </c>
    </row>
    <row r="92" spans="1:12" ht="19.649999999999999" hidden="1" customHeight="1" x14ac:dyDescent="0.25">
      <c r="A92" s="75" t="str">
        <f>IF(Sammanställning!$S54&lt;&gt;"",Sammanställning!N54,"")</f>
        <v/>
      </c>
      <c r="B92" s="76" t="str">
        <f>IF(Sammanställning!$S54&lt;&gt;"",Sammanställning!O54,"")</f>
        <v/>
      </c>
      <c r="C92" s="77" t="str">
        <f>IF(Sammanställning!$S54&lt;&gt;"",Sammanställning!P54,"")</f>
        <v/>
      </c>
      <c r="D92" s="78" t="str">
        <f>IF(Sammanställning!$S54&lt;&gt;"",Sammanställning!Q54,"")</f>
        <v/>
      </c>
      <c r="E92" s="79" t="str">
        <f>IF(Sammanställning!$S54&lt;&gt;"",Sammanställning!R54,"")</f>
        <v/>
      </c>
      <c r="F92" s="72" t="str">
        <f>IF(Sammanställning!$S54&lt;&gt;"",Sammanställning!X54,"")</f>
        <v/>
      </c>
      <c r="G92" s="80" t="str">
        <f>IF(Sammanställning!$S54&lt;&gt;"",Sammanställning!T54,"")</f>
        <v/>
      </c>
      <c r="H92" s="97" t="str">
        <f>IF(Sammanställning!$S54&lt;&gt;"",Sammanställning!U54,"")</f>
        <v/>
      </c>
      <c r="I92" s="99" t="str">
        <f>IF(Sammanställning!$S54&lt;&gt;"",Sammanställning!V54,"")</f>
        <v/>
      </c>
      <c r="J92" s="101">
        <f t="shared" si="0"/>
        <v>0</v>
      </c>
      <c r="K92" s="103">
        <f t="shared" si="1"/>
        <v>0</v>
      </c>
      <c r="L92" s="81" cm="1">
        <f t="array" ref="L92">IFERROR(_xlfn.IFS(I92="/påbörjad h",H92*K92,I92="/tillfälle",H92,I92="/pers/påbörjad h",E92*H92*K92,I92="/pers",E92*H92,I92="/instruktör",E92*H92,I92="/instruktör/påbörjad h",E92*H92*K92,I92="/st",E92*H92,I92="/bord",E92*H92,I92="",0),0)</f>
        <v>0</v>
      </c>
    </row>
    <row r="93" spans="1:12" ht="19.649999999999999" hidden="1" customHeight="1" x14ac:dyDescent="0.25">
      <c r="A93" s="75" t="str">
        <f>IF(Sammanställning!$S55&lt;&gt;"",Sammanställning!N55,"")</f>
        <v/>
      </c>
      <c r="B93" s="76" t="str">
        <f>IF(Sammanställning!$S55&lt;&gt;"",Sammanställning!O55,"")</f>
        <v/>
      </c>
      <c r="C93" s="77" t="str">
        <f>IF(Sammanställning!$S55&lt;&gt;"",Sammanställning!P55,"")</f>
        <v/>
      </c>
      <c r="D93" s="78" t="str">
        <f>IF(Sammanställning!$S55&lt;&gt;"",Sammanställning!Q55,"")</f>
        <v/>
      </c>
      <c r="E93" s="79" t="str">
        <f>IF(Sammanställning!$S55&lt;&gt;"",Sammanställning!R55,"")</f>
        <v/>
      </c>
      <c r="F93" s="72" t="str">
        <f>IF(Sammanställning!$S55&lt;&gt;"",Sammanställning!X55,"")</f>
        <v/>
      </c>
      <c r="G93" s="80" t="str">
        <f>IF(Sammanställning!$S55&lt;&gt;"",Sammanställning!T55,"")</f>
        <v/>
      </c>
      <c r="H93" s="97" t="str">
        <f>IF(Sammanställning!$S55&lt;&gt;"",Sammanställning!U55,"")</f>
        <v/>
      </c>
      <c r="I93" s="99" t="str">
        <f>IF(Sammanställning!$S55&lt;&gt;"",Sammanställning!V55,"")</f>
        <v/>
      </c>
      <c r="J93" s="101">
        <f t="shared" si="0"/>
        <v>0</v>
      </c>
      <c r="K93" s="103">
        <f t="shared" si="1"/>
        <v>0</v>
      </c>
      <c r="L93" s="81" cm="1">
        <f t="array" ref="L93">IFERROR(_xlfn.IFS(I93="/påbörjad h",H93*K93,I93="/tillfälle",H93,I93="/pers/påbörjad h",E93*H93*K93,I93="/pers",E93*H93,I93="/instruktör",E93*H93,I93="/instruktör/påbörjad h",E93*H93*K93,I93="/st",E93*H93,I93="/bord",E93*H93,I93="",0),0)</f>
        <v>0</v>
      </c>
    </row>
    <row r="94" spans="1:12" ht="19.649999999999999" hidden="1" customHeight="1" x14ac:dyDescent="0.25">
      <c r="A94" s="75" t="str">
        <f>IF(Sammanställning!$S56&lt;&gt;"",Sammanställning!N56,"")</f>
        <v/>
      </c>
      <c r="B94" s="76" t="str">
        <f>IF(Sammanställning!$S56&lt;&gt;"",Sammanställning!O56,"")</f>
        <v/>
      </c>
      <c r="C94" s="77" t="str">
        <f>IF(Sammanställning!$S56&lt;&gt;"",Sammanställning!P56,"")</f>
        <v/>
      </c>
      <c r="D94" s="78" t="str">
        <f>IF(Sammanställning!$S56&lt;&gt;"",Sammanställning!Q56,"")</f>
        <v/>
      </c>
      <c r="E94" s="79" t="str">
        <f>IF(Sammanställning!$S56&lt;&gt;"",Sammanställning!R56,"")</f>
        <v/>
      </c>
      <c r="F94" s="72" t="str">
        <f>IF(Sammanställning!$S56&lt;&gt;"",Sammanställning!X56,"")</f>
        <v/>
      </c>
      <c r="G94" s="80" t="str">
        <f>IF(Sammanställning!$S56&lt;&gt;"",Sammanställning!T56,"")</f>
        <v/>
      </c>
      <c r="H94" s="97" t="str">
        <f>IF(Sammanställning!$S56&lt;&gt;"",Sammanställning!U56,"")</f>
        <v/>
      </c>
      <c r="I94" s="99" t="str">
        <f>IF(Sammanställning!$S56&lt;&gt;"",Sammanställning!V56,"")</f>
        <v/>
      </c>
      <c r="J94" s="101">
        <f t="shared" si="0"/>
        <v>0</v>
      </c>
      <c r="K94" s="103">
        <f t="shared" si="1"/>
        <v>0</v>
      </c>
      <c r="L94" s="81" cm="1">
        <f t="array" ref="L94">IFERROR(_xlfn.IFS(I94="/påbörjad h",H94*K94,I94="/tillfälle",H94,I94="/pers/påbörjad h",E94*H94*K94,I94="/pers",E94*H94,I94="/instruktör",E94*H94,I94="/instruktör/påbörjad h",E94*H94*K94,I94="/st",E94*H94,I94="/bord",E94*H94,I94="",0),0)</f>
        <v>0</v>
      </c>
    </row>
    <row r="95" spans="1:12" ht="19.649999999999999" hidden="1" customHeight="1" x14ac:dyDescent="0.25">
      <c r="A95" s="75" t="str">
        <f>IF(Sammanställning!$S57&lt;&gt;"",Sammanställning!N57,"")</f>
        <v/>
      </c>
      <c r="B95" s="76" t="str">
        <f>IF(Sammanställning!$S57&lt;&gt;"",Sammanställning!O57,"")</f>
        <v/>
      </c>
      <c r="C95" s="77" t="str">
        <f>IF(Sammanställning!$S57&lt;&gt;"",Sammanställning!P57,"")</f>
        <v/>
      </c>
      <c r="D95" s="78" t="str">
        <f>IF(Sammanställning!$S57&lt;&gt;"",Sammanställning!Q57,"")</f>
        <v/>
      </c>
      <c r="E95" s="79" t="str">
        <f>IF(Sammanställning!$S57&lt;&gt;"",Sammanställning!R57,"")</f>
        <v/>
      </c>
      <c r="F95" s="72" t="str">
        <f>IF(Sammanställning!$S57&lt;&gt;"",Sammanställning!X57,"")</f>
        <v/>
      </c>
      <c r="G95" s="80" t="str">
        <f>IF(Sammanställning!$S57&lt;&gt;"",Sammanställning!T57,"")</f>
        <v/>
      </c>
      <c r="H95" s="97" t="str">
        <f>IF(Sammanställning!$S57&lt;&gt;"",Sammanställning!U57,"")</f>
        <v/>
      </c>
      <c r="I95" s="99" t="str">
        <f>IF(Sammanställning!$S57&lt;&gt;"",Sammanställning!V57,"")</f>
        <v/>
      </c>
      <c r="J95" s="101">
        <f t="shared" si="0"/>
        <v>0</v>
      </c>
      <c r="K95" s="103">
        <f t="shared" si="1"/>
        <v>0</v>
      </c>
      <c r="L95" s="81" cm="1">
        <f t="array" ref="L95">IFERROR(_xlfn.IFS(I95="/påbörjad h",H95*K95,I95="/tillfälle",H95,I95="/pers/påbörjad h",E95*H95*K95,I95="/pers",E95*H95,I95="/instruktör",E95*H95,I95="/instruktör/påbörjad h",E95*H95*K95,I95="/st",E95*H95,I95="/bord",E95*H95,I95="",0),0)</f>
        <v>0</v>
      </c>
    </row>
    <row r="96" spans="1:12" ht="19.649999999999999" hidden="1" customHeight="1" x14ac:dyDescent="0.25">
      <c r="A96" s="75" t="str">
        <f>IF(Sammanställning!$S58&lt;&gt;"",Sammanställning!N58,"")</f>
        <v/>
      </c>
      <c r="B96" s="76" t="str">
        <f>IF(Sammanställning!$S58&lt;&gt;"",Sammanställning!O58,"")</f>
        <v/>
      </c>
      <c r="C96" s="77" t="str">
        <f>IF(Sammanställning!$S58&lt;&gt;"",Sammanställning!P58,"")</f>
        <v/>
      </c>
      <c r="D96" s="78" t="str">
        <f>IF(Sammanställning!$S58&lt;&gt;"",Sammanställning!Q58,"")</f>
        <v/>
      </c>
      <c r="E96" s="79" t="str">
        <f>IF(Sammanställning!$S58&lt;&gt;"",Sammanställning!R58,"")</f>
        <v/>
      </c>
      <c r="F96" s="72" t="str">
        <f>IF(Sammanställning!$S58&lt;&gt;"",Sammanställning!X58,"")</f>
        <v/>
      </c>
      <c r="G96" s="80" t="str">
        <f>IF(Sammanställning!$S58&lt;&gt;"",Sammanställning!T58,"")</f>
        <v/>
      </c>
      <c r="H96" s="97" t="str">
        <f>IF(Sammanställning!$S58&lt;&gt;"",Sammanställning!U58,"")</f>
        <v/>
      </c>
      <c r="I96" s="99" t="str">
        <f>IF(Sammanställning!$S58&lt;&gt;"",Sammanställning!V58,"")</f>
        <v/>
      </c>
      <c r="J96" s="101">
        <f t="shared" si="0"/>
        <v>0</v>
      </c>
      <c r="K96" s="103">
        <f t="shared" si="1"/>
        <v>0</v>
      </c>
      <c r="L96" s="81" cm="1">
        <f t="array" ref="L96">IFERROR(_xlfn.IFS(I96="/påbörjad h",H96*K96,I96="/tillfälle",H96,I96="/pers/påbörjad h",E96*H96*K96,I96="/pers",E96*H96,I96="/instruktör",E96*H96,I96="/instruktör/påbörjad h",E96*H96*K96,I96="/st",E96*H96,I96="/bord",E96*H96,I96="",0),0)</f>
        <v>0</v>
      </c>
    </row>
    <row r="97" spans="1:12" ht="19.649999999999999" hidden="1" customHeight="1" x14ac:dyDescent="0.25">
      <c r="A97" s="75" t="str">
        <f>IF(Sammanställning!$S59&lt;&gt;"",Sammanställning!N59,"")</f>
        <v/>
      </c>
      <c r="B97" s="76" t="str">
        <f>IF(Sammanställning!$S59&lt;&gt;"",Sammanställning!O59,"")</f>
        <v/>
      </c>
      <c r="C97" s="77" t="str">
        <f>IF(Sammanställning!$S59&lt;&gt;"",Sammanställning!P59,"")</f>
        <v/>
      </c>
      <c r="D97" s="78" t="str">
        <f>IF(Sammanställning!$S59&lt;&gt;"",Sammanställning!Q59,"")</f>
        <v/>
      </c>
      <c r="E97" s="79" t="str">
        <f>IF(Sammanställning!$S59&lt;&gt;"",Sammanställning!R59,"")</f>
        <v/>
      </c>
      <c r="F97" s="72" t="str">
        <f>IF(Sammanställning!$S59&lt;&gt;"",Sammanställning!X59,"")</f>
        <v/>
      </c>
      <c r="G97" s="80" t="str">
        <f>IF(Sammanställning!$S59&lt;&gt;"",Sammanställning!T59,"")</f>
        <v/>
      </c>
      <c r="H97" s="97" t="str">
        <f>IF(Sammanställning!$S59&lt;&gt;"",Sammanställning!U59,"")</f>
        <v/>
      </c>
      <c r="I97" s="99" t="str">
        <f>IF(Sammanställning!$S59&lt;&gt;"",Sammanställning!V59,"")</f>
        <v/>
      </c>
      <c r="J97" s="101">
        <f t="shared" si="0"/>
        <v>0</v>
      </c>
      <c r="K97" s="103">
        <f t="shared" si="1"/>
        <v>0</v>
      </c>
      <c r="L97" s="81" cm="1">
        <f t="array" ref="L97">IFERROR(_xlfn.IFS(I97="/påbörjad h",H97*K97,I97="/tillfälle",H97,I97="/pers/påbörjad h",E97*H97*K97,I97="/pers",E97*H97,I97="/instruktör",E97*H97,I97="/instruktör/påbörjad h",E97*H97*K97,I97="/st",E97*H97,I97="/bord",E97*H97,I97="",0),0)</f>
        <v>0</v>
      </c>
    </row>
    <row r="98" spans="1:12" ht="19.649999999999999" hidden="1" customHeight="1" x14ac:dyDescent="0.25">
      <c r="A98" s="75" t="str">
        <f>IF(Sammanställning!$S60&lt;&gt;"",Sammanställning!N60,"")</f>
        <v/>
      </c>
      <c r="B98" s="76" t="str">
        <f>IF(Sammanställning!$S60&lt;&gt;"",Sammanställning!O60,"")</f>
        <v/>
      </c>
      <c r="C98" s="77" t="str">
        <f>IF(Sammanställning!$S60&lt;&gt;"",Sammanställning!P60,"")</f>
        <v/>
      </c>
      <c r="D98" s="78" t="str">
        <f>IF(Sammanställning!$S60&lt;&gt;"",Sammanställning!Q60,"")</f>
        <v/>
      </c>
      <c r="E98" s="79" t="str">
        <f>IF(Sammanställning!$S60&lt;&gt;"",Sammanställning!R60,"")</f>
        <v/>
      </c>
      <c r="F98" s="72" t="str">
        <f>IF(Sammanställning!$S60&lt;&gt;"",Sammanställning!X60,"")</f>
        <v/>
      </c>
      <c r="G98" s="80" t="str">
        <f>IF(Sammanställning!$S60&lt;&gt;"",Sammanställning!T60,"")</f>
        <v/>
      </c>
      <c r="H98" s="97" t="str">
        <f>IF(Sammanställning!$S60&lt;&gt;"",Sammanställning!U60,"")</f>
        <v/>
      </c>
      <c r="I98" s="99" t="str">
        <f>IF(Sammanställning!$S60&lt;&gt;"",Sammanställning!V60,"")</f>
        <v/>
      </c>
      <c r="J98" s="101">
        <f t="shared" si="0"/>
        <v>0</v>
      </c>
      <c r="K98" s="103">
        <f t="shared" si="1"/>
        <v>0</v>
      </c>
      <c r="L98" s="81" cm="1">
        <f t="array" ref="L98">IFERROR(_xlfn.IFS(I98="/påbörjad h",H98*K98,I98="/tillfälle",H98,I98="/pers/påbörjad h",E98*H98*K98,I98="/pers",E98*H98,I98="/instruktör",E98*H98,I98="/instruktör/påbörjad h",E98*H98*K98,I98="/st",E98*H98,I98="/bord",E98*H98,I98="",0),0)</f>
        <v>0</v>
      </c>
    </row>
    <row r="99" spans="1:12" ht="19.649999999999999" hidden="1" customHeight="1" x14ac:dyDescent="0.25">
      <c r="A99" s="75" t="str">
        <f>IF(Sammanställning!$S61&lt;&gt;"",Sammanställning!N61,"")</f>
        <v/>
      </c>
      <c r="B99" s="76" t="str">
        <f>IF(Sammanställning!$S61&lt;&gt;"",Sammanställning!O61,"")</f>
        <v/>
      </c>
      <c r="C99" s="77" t="str">
        <f>IF(Sammanställning!$S61&lt;&gt;"",Sammanställning!P61,"")</f>
        <v/>
      </c>
      <c r="D99" s="78" t="str">
        <f>IF(Sammanställning!$S61&lt;&gt;"",Sammanställning!Q61,"")</f>
        <v/>
      </c>
      <c r="E99" s="79" t="str">
        <f>IF(Sammanställning!$S61&lt;&gt;"",Sammanställning!R61,"")</f>
        <v/>
      </c>
      <c r="F99" s="72" t="str">
        <f>IF(Sammanställning!$S61&lt;&gt;"",Sammanställning!X61,"")</f>
        <v/>
      </c>
      <c r="G99" s="80" t="str">
        <f>IF(Sammanställning!$S61&lt;&gt;"",Sammanställning!T61,"")</f>
        <v/>
      </c>
      <c r="H99" s="97" t="str">
        <f>IF(Sammanställning!$S61&lt;&gt;"",Sammanställning!U61,"")</f>
        <v/>
      </c>
      <c r="I99" s="99" t="str">
        <f>IF(Sammanställning!$S61&lt;&gt;"",Sammanställning!V61,"")</f>
        <v/>
      </c>
      <c r="J99" s="101">
        <f t="shared" si="0"/>
        <v>0</v>
      </c>
      <c r="K99" s="103">
        <f t="shared" si="1"/>
        <v>0</v>
      </c>
      <c r="L99" s="81" cm="1">
        <f t="array" ref="L99">IFERROR(_xlfn.IFS(I99="/påbörjad h",H99*K99,I99="/tillfälle",H99,I99="/pers/påbörjad h",E99*H99*K99,I99="/pers",E99*H99,I99="/instruktör",E99*H99,I99="/instruktör/påbörjad h",E99*H99*K99,I99="/st",E99*H99,I99="/bord",E99*H99,I99="",0),0)</f>
        <v>0</v>
      </c>
    </row>
    <row r="100" spans="1:12" ht="19.649999999999999" hidden="1" customHeight="1" x14ac:dyDescent="0.25">
      <c r="A100" s="75" t="str">
        <f>IF(Sammanställning!$S62&lt;&gt;"",Sammanställning!N62,"")</f>
        <v/>
      </c>
      <c r="B100" s="76" t="str">
        <f>IF(Sammanställning!$S62&lt;&gt;"",Sammanställning!O62,"")</f>
        <v/>
      </c>
      <c r="C100" s="77" t="str">
        <f>IF(Sammanställning!$S62&lt;&gt;"",Sammanställning!P62,"")</f>
        <v/>
      </c>
      <c r="D100" s="78" t="str">
        <f>IF(Sammanställning!$S62&lt;&gt;"",Sammanställning!Q62,"")</f>
        <v/>
      </c>
      <c r="E100" s="79" t="str">
        <f>IF(Sammanställning!$S62&lt;&gt;"",Sammanställning!R62,"")</f>
        <v/>
      </c>
      <c r="F100" s="72" t="str">
        <f>IF(Sammanställning!$S62&lt;&gt;"",Sammanställning!X62,"")</f>
        <v/>
      </c>
      <c r="G100" s="80" t="str">
        <f>IF(Sammanställning!$S62&lt;&gt;"",Sammanställning!T62,"")</f>
        <v/>
      </c>
      <c r="H100" s="97" t="str">
        <f>IF(Sammanställning!$S62&lt;&gt;"",Sammanställning!U62,"")</f>
        <v/>
      </c>
      <c r="I100" s="99" t="str">
        <f>IF(Sammanställning!$S62&lt;&gt;"",Sammanställning!V62,"")</f>
        <v/>
      </c>
      <c r="J100" s="101">
        <f t="shared" si="0"/>
        <v>0</v>
      </c>
      <c r="K100" s="103">
        <f t="shared" si="1"/>
        <v>0</v>
      </c>
      <c r="L100" s="81" cm="1">
        <f t="array" ref="L100">IFERROR(_xlfn.IFS(I100="/påbörjad h",H100*K100,I100="/tillfälle",H100,I100="/pers/påbörjad h",E100*H100*K100,I100="/pers",E100*H100,I100="/instruktör",E100*H100,I100="/instruktör/påbörjad h",E100*H100*K100,I100="/st",E100*H100,I100="/bord",E100*H100,I100="",0),0)</f>
        <v>0</v>
      </c>
    </row>
    <row r="101" spans="1:12" ht="19.649999999999999" hidden="1" customHeight="1" x14ac:dyDescent="0.25">
      <c r="A101" s="75" t="str">
        <f>IF(Sammanställning!$S63&lt;&gt;"",Sammanställning!N63,"")</f>
        <v/>
      </c>
      <c r="B101" s="76" t="str">
        <f>IF(Sammanställning!$S63&lt;&gt;"",Sammanställning!O63,"")</f>
        <v/>
      </c>
      <c r="C101" s="77" t="str">
        <f>IF(Sammanställning!$S63&lt;&gt;"",Sammanställning!P63,"")</f>
        <v/>
      </c>
      <c r="D101" s="78" t="str">
        <f>IF(Sammanställning!$S63&lt;&gt;"",Sammanställning!Q63,"")</f>
        <v/>
      </c>
      <c r="E101" s="79" t="str">
        <f>IF(Sammanställning!$S63&lt;&gt;"",Sammanställning!R63,"")</f>
        <v/>
      </c>
      <c r="F101" s="72" t="str">
        <f>IF(Sammanställning!$S63&lt;&gt;"",Sammanställning!X63,"")</f>
        <v/>
      </c>
      <c r="G101" s="80" t="str">
        <f>IF(Sammanställning!$S63&lt;&gt;"",Sammanställning!T63,"")</f>
        <v/>
      </c>
      <c r="H101" s="97" t="str">
        <f>IF(Sammanställning!$S63&lt;&gt;"",Sammanställning!U63,"")</f>
        <v/>
      </c>
      <c r="I101" s="99" t="str">
        <f>IF(Sammanställning!$S63&lt;&gt;"",Sammanställning!V63,"")</f>
        <v/>
      </c>
      <c r="J101" s="101">
        <f t="shared" si="0"/>
        <v>0</v>
      </c>
      <c r="K101" s="103">
        <f t="shared" si="1"/>
        <v>0</v>
      </c>
      <c r="L101" s="81" cm="1">
        <f t="array" ref="L101">IFERROR(_xlfn.IFS(I101="/påbörjad h",H101*K101,I101="/tillfälle",H101,I101="/pers/påbörjad h",E101*H101*K101,I101="/pers",E101*H101,I101="/instruktör",E101*H101,I101="/instruktör/påbörjad h",E101*H101*K101,I101="/st",E101*H101,I101="/bord",E101*H101,I101="",0),0)</f>
        <v>0</v>
      </c>
    </row>
    <row r="102" spans="1:12" ht="19.649999999999999" hidden="1" customHeight="1" x14ac:dyDescent="0.25">
      <c r="A102" s="75" t="str">
        <f>IF(Sammanställning!$S64&lt;&gt;"",Sammanställning!N64,"")</f>
        <v/>
      </c>
      <c r="B102" s="76" t="str">
        <f>IF(Sammanställning!$S64&lt;&gt;"",Sammanställning!O64,"")</f>
        <v/>
      </c>
      <c r="C102" s="77" t="str">
        <f>IF(Sammanställning!$S64&lt;&gt;"",Sammanställning!P64,"")</f>
        <v/>
      </c>
      <c r="D102" s="78" t="str">
        <f>IF(Sammanställning!$S64&lt;&gt;"",Sammanställning!Q64,"")</f>
        <v/>
      </c>
      <c r="E102" s="79" t="str">
        <f>IF(Sammanställning!$S64&lt;&gt;"",Sammanställning!R64,"")</f>
        <v/>
      </c>
      <c r="F102" s="72" t="str">
        <f>IF(Sammanställning!$S64&lt;&gt;"",Sammanställning!X64,"")</f>
        <v/>
      </c>
      <c r="G102" s="80" t="str">
        <f>IF(Sammanställning!$S64&lt;&gt;"",Sammanställning!T64,"")</f>
        <v/>
      </c>
      <c r="H102" s="97" t="str">
        <f>IF(Sammanställning!$S64&lt;&gt;"",Sammanställning!U64,"")</f>
        <v/>
      </c>
      <c r="I102" s="99" t="str">
        <f>IF(Sammanställning!$S64&lt;&gt;"",Sammanställning!V64,"")</f>
        <v/>
      </c>
      <c r="J102" s="101">
        <f t="shared" si="0"/>
        <v>0</v>
      </c>
      <c r="K102" s="103">
        <f t="shared" si="1"/>
        <v>0</v>
      </c>
      <c r="L102" s="81" cm="1">
        <f t="array" ref="L102">IFERROR(_xlfn.IFS(I102="/påbörjad h",H102*K102,I102="/tillfälle",H102,I102="/pers/påbörjad h",E102*H102*K102,I102="/pers",E102*H102,I102="/instruktör",E102*H102,I102="/instruktör/påbörjad h",E102*H102*K102,I102="/st",E102*H102,I102="/bord",E102*H102,I102="",0),0)</f>
        <v>0</v>
      </c>
    </row>
    <row r="103" spans="1:12" ht="19.649999999999999" hidden="1" customHeight="1" x14ac:dyDescent="0.25">
      <c r="A103" s="75" t="str">
        <f>IF(Sammanställning!$S65&lt;&gt;"",Sammanställning!N65,"")</f>
        <v/>
      </c>
      <c r="B103" s="76" t="str">
        <f>IF(Sammanställning!$S65&lt;&gt;"",Sammanställning!O65,"")</f>
        <v/>
      </c>
      <c r="C103" s="77" t="str">
        <f>IF(Sammanställning!$S65&lt;&gt;"",Sammanställning!P65,"")</f>
        <v/>
      </c>
      <c r="D103" s="78" t="str">
        <f>IF(Sammanställning!$S65&lt;&gt;"",Sammanställning!Q65,"")</f>
        <v/>
      </c>
      <c r="E103" s="79" t="str">
        <f>IF(Sammanställning!$S65&lt;&gt;"",Sammanställning!R65,"")</f>
        <v/>
      </c>
      <c r="F103" s="72" t="str">
        <f>IF(Sammanställning!$S65&lt;&gt;"",Sammanställning!X65,"")</f>
        <v/>
      </c>
      <c r="G103" s="80" t="str">
        <f>IF(Sammanställning!$S65&lt;&gt;"",Sammanställning!T65,"")</f>
        <v/>
      </c>
      <c r="H103" s="97" t="str">
        <f>IF(Sammanställning!$S65&lt;&gt;"",Sammanställning!U65,"")</f>
        <v/>
      </c>
      <c r="I103" s="99" t="str">
        <f>IF(Sammanställning!$S65&lt;&gt;"",Sammanställning!V65,"")</f>
        <v/>
      </c>
      <c r="J103" s="101">
        <f t="shared" si="0"/>
        <v>0</v>
      </c>
      <c r="K103" s="103">
        <f t="shared" si="1"/>
        <v>0</v>
      </c>
      <c r="L103" s="81" cm="1">
        <f t="array" ref="L103">IFERROR(_xlfn.IFS(I103="/påbörjad h",H103*K103,I103="/tillfälle",H103,I103="/pers/påbörjad h",E103*H103*K103,I103="/pers",E103*H103,I103="/instruktör",E103*H103,I103="/instruktör/påbörjad h",E103*H103*K103,I103="/st",E103*H103,I103="/bord",E103*H103,I103="",0),0)</f>
        <v>0</v>
      </c>
    </row>
    <row r="104" spans="1:12" ht="19.649999999999999" hidden="1" customHeight="1" x14ac:dyDescent="0.25">
      <c r="A104" s="75" t="str">
        <f>IF(Sammanställning!$S66&lt;&gt;"",Sammanställning!N66,"")</f>
        <v/>
      </c>
      <c r="B104" s="76" t="str">
        <f>IF(Sammanställning!$S66&lt;&gt;"",Sammanställning!O66,"")</f>
        <v/>
      </c>
      <c r="C104" s="77" t="str">
        <f>IF(Sammanställning!$S66&lt;&gt;"",Sammanställning!P66,"")</f>
        <v/>
      </c>
      <c r="D104" s="78" t="str">
        <f>IF(Sammanställning!$S66&lt;&gt;"",Sammanställning!Q66,"")</f>
        <v/>
      </c>
      <c r="E104" s="79" t="str">
        <f>IF(Sammanställning!$S66&lt;&gt;"",Sammanställning!R66,"")</f>
        <v/>
      </c>
      <c r="F104" s="72" t="str">
        <f>IF(Sammanställning!$S66&lt;&gt;"",Sammanställning!X66,"")</f>
        <v/>
      </c>
      <c r="G104" s="80" t="str">
        <f>IF(Sammanställning!$S66&lt;&gt;"",Sammanställning!T66,"")</f>
        <v/>
      </c>
      <c r="H104" s="97" t="str">
        <f>IF(Sammanställning!$S66&lt;&gt;"",Sammanställning!U66,"")</f>
        <v/>
      </c>
      <c r="I104" s="99" t="str">
        <f>IF(Sammanställning!$S66&lt;&gt;"",Sammanställning!V66,"")</f>
        <v/>
      </c>
      <c r="J104" s="101">
        <f t="shared" ref="J104:J134" si="2">IFERROR(IF(OR(F104=TRUE),0,L104),0)</f>
        <v>0</v>
      </c>
      <c r="K104" s="103">
        <f t="shared" si="1"/>
        <v>0</v>
      </c>
      <c r="L104" s="81" cm="1">
        <f t="array" ref="L104">IFERROR(_xlfn.IFS(I104="/påbörjad h",H104*K104,I104="/tillfälle",H104,I104="/pers/påbörjad h",E104*H104*K104,I104="/pers",E104*H104,I104="/instruktör",E104*H104,I104="/instruktör/påbörjad h",E104*H104*K104,I104="/st",E104*H104,I104="/bord",E104*H104,I104="",0),0)</f>
        <v>0</v>
      </c>
    </row>
    <row r="105" spans="1:12" ht="19.649999999999999" hidden="1" customHeight="1" x14ac:dyDescent="0.25">
      <c r="A105" s="75" t="str">
        <f>IF(Sammanställning!$S67&lt;&gt;"",Sammanställning!N67,"")</f>
        <v/>
      </c>
      <c r="B105" s="76" t="str">
        <f>IF(Sammanställning!$S67&lt;&gt;"",Sammanställning!O67,"")</f>
        <v/>
      </c>
      <c r="C105" s="77" t="str">
        <f>IF(Sammanställning!$S67&lt;&gt;"",Sammanställning!P67,"")</f>
        <v/>
      </c>
      <c r="D105" s="78" t="str">
        <f>IF(Sammanställning!$S67&lt;&gt;"",Sammanställning!Q67,"")</f>
        <v/>
      </c>
      <c r="E105" s="79" t="str">
        <f>IF(Sammanställning!$S67&lt;&gt;"",Sammanställning!R67,"")</f>
        <v/>
      </c>
      <c r="F105" s="72" t="str">
        <f>IF(Sammanställning!$S67&lt;&gt;"",Sammanställning!X67,"")</f>
        <v/>
      </c>
      <c r="G105" s="80" t="str">
        <f>IF(Sammanställning!$S67&lt;&gt;"",Sammanställning!T67,"")</f>
        <v/>
      </c>
      <c r="H105" s="97" t="str">
        <f>IF(Sammanställning!$S67&lt;&gt;"",Sammanställning!U67,"")</f>
        <v/>
      </c>
      <c r="I105" s="99" t="str">
        <f>IF(Sammanställning!$S67&lt;&gt;"",Sammanställning!V67,"")</f>
        <v/>
      </c>
      <c r="J105" s="101">
        <f t="shared" si="2"/>
        <v>0</v>
      </c>
      <c r="K105" s="103">
        <f t="shared" ref="K105:K134" si="3">IFERROR(ROUNDUP((D105-C105)*24,0),0)</f>
        <v>0</v>
      </c>
      <c r="L105" s="81" cm="1">
        <f t="array" ref="L105">IFERROR(_xlfn.IFS(I105="/påbörjad h",H105*K105,I105="/tillfälle",H105,I105="/pers/påbörjad h",E105*H105*K105,I105="/pers",E105*H105,I105="/instruktör",E105*H105,I105="/instruktör/påbörjad h",E105*H105*K105,I105="/st",E105*H105,I105="/bord",E105*H105,I105="",0),0)</f>
        <v>0</v>
      </c>
    </row>
    <row r="106" spans="1:12" ht="19.649999999999999" hidden="1" customHeight="1" x14ac:dyDescent="0.25">
      <c r="A106" s="75" t="str">
        <f>IF(Sammanställning!$S68&lt;&gt;"",Sammanställning!N68,"")</f>
        <v/>
      </c>
      <c r="B106" s="76" t="str">
        <f>IF(Sammanställning!$S68&lt;&gt;"",Sammanställning!O68,"")</f>
        <v/>
      </c>
      <c r="C106" s="77" t="str">
        <f>IF(Sammanställning!$S68&lt;&gt;"",Sammanställning!P68,"")</f>
        <v/>
      </c>
      <c r="D106" s="78" t="str">
        <f>IF(Sammanställning!$S68&lt;&gt;"",Sammanställning!Q68,"")</f>
        <v/>
      </c>
      <c r="E106" s="79" t="str">
        <f>IF(Sammanställning!$S68&lt;&gt;"",Sammanställning!R68,"")</f>
        <v/>
      </c>
      <c r="F106" s="72" t="str">
        <f>IF(Sammanställning!$S68&lt;&gt;"",Sammanställning!X68,"")</f>
        <v/>
      </c>
      <c r="G106" s="80" t="str">
        <f>IF(Sammanställning!$S68&lt;&gt;"",Sammanställning!T68,"")</f>
        <v/>
      </c>
      <c r="H106" s="97" t="str">
        <f>IF(Sammanställning!$S68&lt;&gt;"",Sammanställning!U68,"")</f>
        <v/>
      </c>
      <c r="I106" s="99" t="str">
        <f>IF(Sammanställning!$S68&lt;&gt;"",Sammanställning!V68,"")</f>
        <v/>
      </c>
      <c r="J106" s="101">
        <f t="shared" si="2"/>
        <v>0</v>
      </c>
      <c r="K106" s="103">
        <f t="shared" si="3"/>
        <v>0</v>
      </c>
      <c r="L106" s="81" cm="1">
        <f t="array" ref="L106">IFERROR(_xlfn.IFS(I106="/påbörjad h",H106*K106,I106="/tillfälle",H106,I106="/pers/påbörjad h",E106*H106*K106,I106="/pers",E106*H106,I106="/instruktör",E106*H106,I106="/instruktör/påbörjad h",E106*H106*K106,I106="/st",E106*H106,I106="/bord",E106*H106,I106="",0),0)</f>
        <v>0</v>
      </c>
    </row>
    <row r="107" spans="1:12" ht="19.649999999999999" hidden="1" customHeight="1" x14ac:dyDescent="0.25">
      <c r="A107" s="75" t="str">
        <f>IF(Sammanställning!$S69&lt;&gt;"",Sammanställning!N69,"")</f>
        <v/>
      </c>
      <c r="B107" s="76" t="str">
        <f>IF(Sammanställning!$S69&lt;&gt;"",Sammanställning!O69,"")</f>
        <v/>
      </c>
      <c r="C107" s="77" t="str">
        <f>IF(Sammanställning!$S69&lt;&gt;"",Sammanställning!P69,"")</f>
        <v/>
      </c>
      <c r="D107" s="78" t="str">
        <f>IF(Sammanställning!$S69&lt;&gt;"",Sammanställning!Q69,"")</f>
        <v/>
      </c>
      <c r="E107" s="79" t="str">
        <f>IF(Sammanställning!$S69&lt;&gt;"",Sammanställning!R69,"")</f>
        <v/>
      </c>
      <c r="F107" s="72" t="str">
        <f>IF(Sammanställning!$S69&lt;&gt;"",Sammanställning!X69,"")</f>
        <v/>
      </c>
      <c r="G107" s="80" t="str">
        <f>IF(Sammanställning!$S69&lt;&gt;"",Sammanställning!T69,"")</f>
        <v/>
      </c>
      <c r="H107" s="97" t="str">
        <f>IF(Sammanställning!$S69&lt;&gt;"",Sammanställning!U69,"")</f>
        <v/>
      </c>
      <c r="I107" s="99" t="str">
        <f>IF(Sammanställning!$S69&lt;&gt;"",Sammanställning!V69,"")</f>
        <v/>
      </c>
      <c r="J107" s="101">
        <f t="shared" si="2"/>
        <v>0</v>
      </c>
      <c r="K107" s="103">
        <f t="shared" si="3"/>
        <v>0</v>
      </c>
      <c r="L107" s="81" cm="1">
        <f t="array" ref="L107">IFERROR(_xlfn.IFS(I107="/påbörjad h",H107*K107,I107="/tillfälle",H107,I107="/pers/påbörjad h",E107*H107*K107,I107="/pers",E107*H107,I107="/instruktör",E107*H107,I107="/instruktör/påbörjad h",E107*H107*K107,I107="/st",E107*H107,I107="/bord",E107*H107,I107="",0),0)</f>
        <v>0</v>
      </c>
    </row>
    <row r="108" spans="1:12" ht="19.649999999999999" hidden="1" customHeight="1" x14ac:dyDescent="0.25">
      <c r="A108" s="75" t="str">
        <f>IF(Sammanställning!$S70&lt;&gt;"",Sammanställning!N70,"")</f>
        <v/>
      </c>
      <c r="B108" s="76" t="str">
        <f>IF(Sammanställning!$S70&lt;&gt;"",Sammanställning!O70,"")</f>
        <v/>
      </c>
      <c r="C108" s="77" t="str">
        <f>IF(Sammanställning!$S70&lt;&gt;"",Sammanställning!P70,"")</f>
        <v/>
      </c>
      <c r="D108" s="78" t="str">
        <f>IF(Sammanställning!$S70&lt;&gt;"",Sammanställning!Q70,"")</f>
        <v/>
      </c>
      <c r="E108" s="79" t="str">
        <f>IF(Sammanställning!$S70&lt;&gt;"",Sammanställning!R70,"")</f>
        <v/>
      </c>
      <c r="F108" s="72" t="str">
        <f>IF(Sammanställning!$S70&lt;&gt;"",Sammanställning!X70,"")</f>
        <v/>
      </c>
      <c r="G108" s="80" t="str">
        <f>IF(Sammanställning!$S70&lt;&gt;"",Sammanställning!T70,"")</f>
        <v/>
      </c>
      <c r="H108" s="97" t="str">
        <f>IF(Sammanställning!$S70&lt;&gt;"",Sammanställning!U70,"")</f>
        <v/>
      </c>
      <c r="I108" s="99" t="str">
        <f>IF(Sammanställning!$S70&lt;&gt;"",Sammanställning!V70,"")</f>
        <v/>
      </c>
      <c r="J108" s="101">
        <f t="shared" si="2"/>
        <v>0</v>
      </c>
      <c r="K108" s="103">
        <f t="shared" si="3"/>
        <v>0</v>
      </c>
      <c r="L108" s="81" cm="1">
        <f t="array" ref="L108">IFERROR(_xlfn.IFS(I108="/påbörjad h",H108*K108,I108="/tillfälle",H108,I108="/pers/påbörjad h",E108*H108*K108,I108="/pers",E108*H108,I108="/instruktör",E108*H108,I108="/instruktör/påbörjad h",E108*H108*K108,I108="/st",E108*H108,I108="/bord",E108*H108,I108="",0),0)</f>
        <v>0</v>
      </c>
    </row>
    <row r="109" spans="1:12" ht="19.649999999999999" hidden="1" customHeight="1" x14ac:dyDescent="0.25">
      <c r="A109" s="75" t="str">
        <f>IF(Sammanställning!$S71&lt;&gt;"",Sammanställning!N71,"")</f>
        <v/>
      </c>
      <c r="B109" s="76" t="str">
        <f>IF(Sammanställning!$S71&lt;&gt;"",Sammanställning!O71,"")</f>
        <v/>
      </c>
      <c r="C109" s="77" t="str">
        <f>IF(Sammanställning!$S71&lt;&gt;"",Sammanställning!P71,"")</f>
        <v/>
      </c>
      <c r="D109" s="78" t="str">
        <f>IF(Sammanställning!$S71&lt;&gt;"",Sammanställning!Q71,"")</f>
        <v/>
      </c>
      <c r="E109" s="79" t="str">
        <f>IF(Sammanställning!$S71&lt;&gt;"",Sammanställning!R71,"")</f>
        <v/>
      </c>
      <c r="F109" s="72" t="str">
        <f>IF(Sammanställning!$S71&lt;&gt;"",Sammanställning!X71,"")</f>
        <v/>
      </c>
      <c r="G109" s="80" t="str">
        <f>IF(Sammanställning!$S71&lt;&gt;"",Sammanställning!T71,"")</f>
        <v/>
      </c>
      <c r="H109" s="97" t="str">
        <f>IF(Sammanställning!$S71&lt;&gt;"",Sammanställning!U71,"")</f>
        <v/>
      </c>
      <c r="I109" s="99" t="str">
        <f>IF(Sammanställning!$S71&lt;&gt;"",Sammanställning!V71,"")</f>
        <v/>
      </c>
      <c r="J109" s="101">
        <f t="shared" si="2"/>
        <v>0</v>
      </c>
      <c r="K109" s="103">
        <f t="shared" si="3"/>
        <v>0</v>
      </c>
      <c r="L109" s="81" cm="1">
        <f t="array" ref="L109">IFERROR(_xlfn.IFS(I109="/påbörjad h",H109*K109,I109="/tillfälle",H109,I109="/pers/påbörjad h",E109*H109*K109,I109="/pers",E109*H109,I109="/instruktör",E109*H109,I109="/instruktör/påbörjad h",E109*H109*K109,I109="/st",E109*H109,I109="/bord",E109*H109,I109="",0),0)</f>
        <v>0</v>
      </c>
    </row>
    <row r="110" spans="1:12" ht="19.649999999999999" hidden="1" customHeight="1" x14ac:dyDescent="0.25">
      <c r="A110" s="75" t="str">
        <f>IF(Sammanställning!$S72&lt;&gt;"",Sammanställning!N72,"")</f>
        <v/>
      </c>
      <c r="B110" s="76" t="str">
        <f>IF(Sammanställning!$S72&lt;&gt;"",Sammanställning!O72,"")</f>
        <v/>
      </c>
      <c r="C110" s="77" t="str">
        <f>IF(Sammanställning!$S72&lt;&gt;"",Sammanställning!P72,"")</f>
        <v/>
      </c>
      <c r="D110" s="78" t="str">
        <f>IF(Sammanställning!$S72&lt;&gt;"",Sammanställning!Q72,"")</f>
        <v/>
      </c>
      <c r="E110" s="79" t="str">
        <f>IF(Sammanställning!$S72&lt;&gt;"",Sammanställning!R72,"")</f>
        <v/>
      </c>
      <c r="F110" s="72" t="str">
        <f>IF(Sammanställning!$S72&lt;&gt;"",Sammanställning!X72,"")</f>
        <v/>
      </c>
      <c r="G110" s="80" t="str">
        <f>IF(Sammanställning!$S72&lt;&gt;"",Sammanställning!T72,"")</f>
        <v/>
      </c>
      <c r="H110" s="97" t="str">
        <f>IF(Sammanställning!$S72&lt;&gt;"",Sammanställning!U72,"")</f>
        <v/>
      </c>
      <c r="I110" s="99" t="str">
        <f>IF(Sammanställning!$S72&lt;&gt;"",Sammanställning!V72,"")</f>
        <v/>
      </c>
      <c r="J110" s="101">
        <f t="shared" si="2"/>
        <v>0</v>
      </c>
      <c r="K110" s="103">
        <f t="shared" si="3"/>
        <v>0</v>
      </c>
      <c r="L110" s="81" cm="1">
        <f t="array" ref="L110">IFERROR(_xlfn.IFS(I110="/påbörjad h",H110*K110,I110="/tillfälle",H110,I110="/pers/påbörjad h",E110*H110*K110,I110="/pers",E110*H110,I110="/instruktör",E110*H110,I110="/instruktör/påbörjad h",E110*H110*K110,I110="/st",E110*H110,I110="/bord",E110*H110,I110="",0),0)</f>
        <v>0</v>
      </c>
    </row>
    <row r="111" spans="1:12" ht="19.649999999999999" hidden="1" customHeight="1" x14ac:dyDescent="0.25">
      <c r="A111" s="75" t="str">
        <f>IF(Sammanställning!$S73&lt;&gt;"",Sammanställning!N73,"")</f>
        <v/>
      </c>
      <c r="B111" s="76" t="str">
        <f>IF(Sammanställning!$S73&lt;&gt;"",Sammanställning!O73,"")</f>
        <v/>
      </c>
      <c r="C111" s="77" t="str">
        <f>IF(Sammanställning!$S73&lt;&gt;"",Sammanställning!P73,"")</f>
        <v/>
      </c>
      <c r="D111" s="78" t="str">
        <f>IF(Sammanställning!$S73&lt;&gt;"",Sammanställning!Q73,"")</f>
        <v/>
      </c>
      <c r="E111" s="79" t="str">
        <f>IF(Sammanställning!$S73&lt;&gt;"",Sammanställning!R73,"")</f>
        <v/>
      </c>
      <c r="F111" s="72" t="str">
        <f>IF(Sammanställning!$S73&lt;&gt;"",Sammanställning!X73,"")</f>
        <v/>
      </c>
      <c r="G111" s="80" t="str">
        <f>IF(Sammanställning!$S73&lt;&gt;"",Sammanställning!T73,"")</f>
        <v/>
      </c>
      <c r="H111" s="97" t="str">
        <f>IF(Sammanställning!$S73&lt;&gt;"",Sammanställning!U73,"")</f>
        <v/>
      </c>
      <c r="I111" s="99" t="str">
        <f>IF(Sammanställning!$S73&lt;&gt;"",Sammanställning!V73,"")</f>
        <v/>
      </c>
      <c r="J111" s="101">
        <f t="shared" si="2"/>
        <v>0</v>
      </c>
      <c r="K111" s="103">
        <f t="shared" si="3"/>
        <v>0</v>
      </c>
      <c r="L111" s="81" cm="1">
        <f t="array" ref="L111">IFERROR(_xlfn.IFS(I111="/påbörjad h",H111*K111,I111="/tillfälle",H111,I111="/pers/påbörjad h",E111*H111*K111,I111="/pers",E111*H111,I111="/instruktör",E111*H111,I111="/instruktör/påbörjad h",E111*H111*K111,I111="/st",E111*H111,I111="/bord",E111*H111,I111="",0),0)</f>
        <v>0</v>
      </c>
    </row>
    <row r="112" spans="1:12" ht="19.649999999999999" hidden="1" customHeight="1" x14ac:dyDescent="0.25">
      <c r="A112" s="75" t="str">
        <f>IF(Sammanställning!$S74&lt;&gt;"",Sammanställning!N74,"")</f>
        <v/>
      </c>
      <c r="B112" s="76" t="str">
        <f>IF(Sammanställning!$S74&lt;&gt;"",Sammanställning!O74,"")</f>
        <v/>
      </c>
      <c r="C112" s="77" t="str">
        <f>IF(Sammanställning!$S74&lt;&gt;"",Sammanställning!P74,"")</f>
        <v/>
      </c>
      <c r="D112" s="78" t="str">
        <f>IF(Sammanställning!$S74&lt;&gt;"",Sammanställning!Q74,"")</f>
        <v/>
      </c>
      <c r="E112" s="79" t="str">
        <f>IF(Sammanställning!$S74&lt;&gt;"",Sammanställning!R74,"")</f>
        <v/>
      </c>
      <c r="F112" s="72" t="str">
        <f>IF(Sammanställning!$S74&lt;&gt;"",Sammanställning!X74,"")</f>
        <v/>
      </c>
      <c r="G112" s="80" t="str">
        <f>IF(Sammanställning!$S74&lt;&gt;"",Sammanställning!T74,"")</f>
        <v/>
      </c>
      <c r="H112" s="97" t="str">
        <f>IF(Sammanställning!$S74&lt;&gt;"",Sammanställning!U74,"")</f>
        <v/>
      </c>
      <c r="I112" s="99" t="str">
        <f>IF(Sammanställning!$S74&lt;&gt;"",Sammanställning!V74,"")</f>
        <v/>
      </c>
      <c r="J112" s="101">
        <f t="shared" si="2"/>
        <v>0</v>
      </c>
      <c r="K112" s="103">
        <f t="shared" si="3"/>
        <v>0</v>
      </c>
      <c r="L112" s="81" cm="1">
        <f t="array" ref="L112">IFERROR(_xlfn.IFS(I112="/påbörjad h",H112*K112,I112="/tillfälle",H112,I112="/pers/påbörjad h",E112*H112*K112,I112="/pers",E112*H112,I112="/instruktör",E112*H112,I112="/instruktör/påbörjad h",E112*H112*K112,I112="/st",E112*H112,I112="/bord",E112*H112,I112="",0),0)</f>
        <v>0</v>
      </c>
    </row>
    <row r="113" spans="1:12" ht="19.649999999999999" hidden="1" customHeight="1" x14ac:dyDescent="0.25">
      <c r="A113" s="75" t="str">
        <f>IF(Sammanställning!$S75&lt;&gt;"",Sammanställning!N75,"")</f>
        <v/>
      </c>
      <c r="B113" s="76" t="str">
        <f>IF(Sammanställning!$S75&lt;&gt;"",Sammanställning!O75,"")</f>
        <v/>
      </c>
      <c r="C113" s="77" t="str">
        <f>IF(Sammanställning!$S75&lt;&gt;"",Sammanställning!P75,"")</f>
        <v/>
      </c>
      <c r="D113" s="78" t="str">
        <f>IF(Sammanställning!$S75&lt;&gt;"",Sammanställning!Q75,"")</f>
        <v/>
      </c>
      <c r="E113" s="79" t="str">
        <f>IF(Sammanställning!$S75&lt;&gt;"",Sammanställning!R75,"")</f>
        <v/>
      </c>
      <c r="F113" s="72" t="str">
        <f>IF(Sammanställning!$S75&lt;&gt;"",Sammanställning!X75,"")</f>
        <v/>
      </c>
      <c r="G113" s="80" t="str">
        <f>IF(Sammanställning!$S75&lt;&gt;"",Sammanställning!T75,"")</f>
        <v/>
      </c>
      <c r="H113" s="97" t="str">
        <f>IF(Sammanställning!$S75&lt;&gt;"",Sammanställning!U75,"")</f>
        <v/>
      </c>
      <c r="I113" s="99" t="str">
        <f>IF(Sammanställning!$S75&lt;&gt;"",Sammanställning!V75,"")</f>
        <v/>
      </c>
      <c r="J113" s="101">
        <f t="shared" si="2"/>
        <v>0</v>
      </c>
      <c r="K113" s="103">
        <f t="shared" si="3"/>
        <v>0</v>
      </c>
      <c r="L113" s="81" cm="1">
        <f t="array" ref="L113">IFERROR(_xlfn.IFS(I113="/påbörjad h",H113*K113,I113="/tillfälle",H113,I113="/pers/påbörjad h",E113*H113*K113,I113="/pers",E113*H113,I113="/instruktör",E113*H113,I113="/instruktör/påbörjad h",E113*H113*K113,I113="/st",E113*H113,I113="/bord",E113*H113,I113="",0),0)</f>
        <v>0</v>
      </c>
    </row>
    <row r="114" spans="1:12" ht="19.649999999999999" hidden="1" customHeight="1" x14ac:dyDescent="0.25">
      <c r="A114" s="75" t="str">
        <f>IF(Sammanställning!$S76&lt;&gt;"",Sammanställning!N76,"")</f>
        <v/>
      </c>
      <c r="B114" s="76" t="str">
        <f>IF(Sammanställning!$S76&lt;&gt;"",Sammanställning!O76,"")</f>
        <v/>
      </c>
      <c r="C114" s="77" t="str">
        <f>IF(Sammanställning!$S76&lt;&gt;"",Sammanställning!P76,"")</f>
        <v/>
      </c>
      <c r="D114" s="78" t="str">
        <f>IF(Sammanställning!$S76&lt;&gt;"",Sammanställning!Q76,"")</f>
        <v/>
      </c>
      <c r="E114" s="79" t="str">
        <f>IF(Sammanställning!$S76&lt;&gt;"",Sammanställning!R76,"")</f>
        <v/>
      </c>
      <c r="F114" s="72" t="str">
        <f>IF(Sammanställning!$S76&lt;&gt;"",Sammanställning!X76,"")</f>
        <v/>
      </c>
      <c r="G114" s="80" t="str">
        <f>IF(Sammanställning!$S76&lt;&gt;"",Sammanställning!T76,"")</f>
        <v/>
      </c>
      <c r="H114" s="97" t="str">
        <f>IF(Sammanställning!$S76&lt;&gt;"",Sammanställning!U76,"")</f>
        <v/>
      </c>
      <c r="I114" s="99" t="str">
        <f>IF(Sammanställning!$S76&lt;&gt;"",Sammanställning!V76,"")</f>
        <v/>
      </c>
      <c r="J114" s="101">
        <f t="shared" si="2"/>
        <v>0</v>
      </c>
      <c r="K114" s="103">
        <f t="shared" si="3"/>
        <v>0</v>
      </c>
      <c r="L114" s="81" cm="1">
        <f t="array" ref="L114">IFERROR(_xlfn.IFS(I114="/påbörjad h",H114*K114,I114="/tillfälle",H114,I114="/pers/påbörjad h",E114*H114*K114,I114="/pers",E114*H114,I114="/instruktör",E114*H114,I114="/instruktör/påbörjad h",E114*H114*K114,I114="/st",E114*H114,I114="/bord",E114*H114,I114="",0),0)</f>
        <v>0</v>
      </c>
    </row>
    <row r="115" spans="1:12" ht="19.649999999999999" hidden="1" customHeight="1" x14ac:dyDescent="0.25">
      <c r="A115" s="75" t="str">
        <f>IF(Sammanställning!$S77&lt;&gt;"",Sammanställning!N77,"")</f>
        <v/>
      </c>
      <c r="B115" s="76" t="str">
        <f>IF(Sammanställning!$S77&lt;&gt;"",Sammanställning!O77,"")</f>
        <v/>
      </c>
      <c r="C115" s="77" t="str">
        <f>IF(Sammanställning!$S77&lt;&gt;"",Sammanställning!P77,"")</f>
        <v/>
      </c>
      <c r="D115" s="78" t="str">
        <f>IF(Sammanställning!$S77&lt;&gt;"",Sammanställning!Q77,"")</f>
        <v/>
      </c>
      <c r="E115" s="79" t="str">
        <f>IF(Sammanställning!$S77&lt;&gt;"",Sammanställning!R77,"")</f>
        <v/>
      </c>
      <c r="F115" s="72" t="str">
        <f>IF(Sammanställning!$S77&lt;&gt;"",Sammanställning!X77,"")</f>
        <v/>
      </c>
      <c r="G115" s="80" t="str">
        <f>IF(Sammanställning!$S77&lt;&gt;"",Sammanställning!T77,"")</f>
        <v/>
      </c>
      <c r="H115" s="97" t="str">
        <f>IF(Sammanställning!$S77&lt;&gt;"",Sammanställning!U77,"")</f>
        <v/>
      </c>
      <c r="I115" s="99" t="str">
        <f>IF(Sammanställning!$S77&lt;&gt;"",Sammanställning!V77,"")</f>
        <v/>
      </c>
      <c r="J115" s="101">
        <f t="shared" si="2"/>
        <v>0</v>
      </c>
      <c r="K115" s="103">
        <f t="shared" si="3"/>
        <v>0</v>
      </c>
      <c r="L115" s="81" cm="1">
        <f t="array" ref="L115">IFERROR(_xlfn.IFS(I115="/påbörjad h",H115*K115,I115="/tillfälle",H115,I115="/pers/påbörjad h",E115*H115*K115,I115="/pers",E115*H115,I115="/instruktör",E115*H115,I115="/instruktör/påbörjad h",E115*H115*K115,I115="/st",E115*H115,I115="/bord",E115*H115,I115="",0),0)</f>
        <v>0</v>
      </c>
    </row>
    <row r="116" spans="1:12" ht="19.649999999999999" hidden="1" customHeight="1" x14ac:dyDescent="0.25">
      <c r="A116" s="75" t="str">
        <f>IF(Sammanställning!$S78&lt;&gt;"",Sammanställning!N78,"")</f>
        <v/>
      </c>
      <c r="B116" s="76" t="str">
        <f>IF(Sammanställning!$S78&lt;&gt;"",Sammanställning!O78,"")</f>
        <v/>
      </c>
      <c r="C116" s="77" t="str">
        <f>IF(Sammanställning!$S78&lt;&gt;"",Sammanställning!P78,"")</f>
        <v/>
      </c>
      <c r="D116" s="78" t="str">
        <f>IF(Sammanställning!$S78&lt;&gt;"",Sammanställning!Q78,"")</f>
        <v/>
      </c>
      <c r="E116" s="79" t="str">
        <f>IF(Sammanställning!$S78&lt;&gt;"",Sammanställning!R78,"")</f>
        <v/>
      </c>
      <c r="F116" s="72" t="str">
        <f>IF(Sammanställning!$S78&lt;&gt;"",Sammanställning!X78,"")</f>
        <v/>
      </c>
      <c r="G116" s="80" t="str">
        <f>IF(Sammanställning!$S78&lt;&gt;"",Sammanställning!T78,"")</f>
        <v/>
      </c>
      <c r="H116" s="97" t="str">
        <f>IF(Sammanställning!$S78&lt;&gt;"",Sammanställning!U78,"")</f>
        <v/>
      </c>
      <c r="I116" s="99" t="str">
        <f>IF(Sammanställning!$S78&lt;&gt;"",Sammanställning!V78,"")</f>
        <v/>
      </c>
      <c r="J116" s="101">
        <f t="shared" si="2"/>
        <v>0</v>
      </c>
      <c r="K116" s="103">
        <f t="shared" si="3"/>
        <v>0</v>
      </c>
      <c r="L116" s="81" cm="1">
        <f t="array" ref="L116">IFERROR(_xlfn.IFS(I116="/påbörjad h",H116*K116,I116="/tillfälle",H116,I116="/pers/påbörjad h",E116*H116*K116,I116="/pers",E116*H116,I116="/instruktör",E116*H116,I116="/instruktör/påbörjad h",E116*H116*K116,I116="/st",E116*H116,I116="/bord",E116*H116,I116="",0),0)</f>
        <v>0</v>
      </c>
    </row>
    <row r="117" spans="1:12" ht="19.649999999999999" hidden="1" customHeight="1" x14ac:dyDescent="0.25">
      <c r="A117" s="75" t="str">
        <f>IF(Sammanställning!$S79&lt;&gt;"",Sammanställning!N79,"")</f>
        <v/>
      </c>
      <c r="B117" s="76" t="str">
        <f>IF(Sammanställning!$S79&lt;&gt;"",Sammanställning!O79,"")</f>
        <v/>
      </c>
      <c r="C117" s="77" t="str">
        <f>IF(Sammanställning!$S79&lt;&gt;"",Sammanställning!P79,"")</f>
        <v/>
      </c>
      <c r="D117" s="78" t="str">
        <f>IF(Sammanställning!$S79&lt;&gt;"",Sammanställning!Q79,"")</f>
        <v/>
      </c>
      <c r="E117" s="79" t="str">
        <f>IF(Sammanställning!$S79&lt;&gt;"",Sammanställning!R79,"")</f>
        <v/>
      </c>
      <c r="F117" s="72" t="str">
        <f>IF(Sammanställning!$S79&lt;&gt;"",Sammanställning!X79,"")</f>
        <v/>
      </c>
      <c r="G117" s="80" t="str">
        <f>IF(Sammanställning!$S79&lt;&gt;"",Sammanställning!T79,"")</f>
        <v/>
      </c>
      <c r="H117" s="97" t="str">
        <f>IF(Sammanställning!$S79&lt;&gt;"",Sammanställning!U79,"")</f>
        <v/>
      </c>
      <c r="I117" s="99" t="str">
        <f>IF(Sammanställning!$S79&lt;&gt;"",Sammanställning!V79,"")</f>
        <v/>
      </c>
      <c r="J117" s="101">
        <f t="shared" si="2"/>
        <v>0</v>
      </c>
      <c r="K117" s="103">
        <f t="shared" si="3"/>
        <v>0</v>
      </c>
      <c r="L117" s="81" cm="1">
        <f t="array" ref="L117">IFERROR(_xlfn.IFS(I117="/påbörjad h",H117*K117,I117="/tillfälle",H117,I117="/pers/påbörjad h",E117*H117*K117,I117="/pers",E117*H117,I117="/instruktör",E117*H117,I117="/instruktör/påbörjad h",E117*H117*K117,I117="/st",E117*H117,I117="/bord",E117*H117,I117="",0),0)</f>
        <v>0</v>
      </c>
    </row>
    <row r="118" spans="1:12" ht="19.649999999999999" hidden="1" customHeight="1" x14ac:dyDescent="0.25">
      <c r="A118" s="75" t="str">
        <f>IF(Sammanställning!$S80&lt;&gt;"",Sammanställning!N80,"")</f>
        <v/>
      </c>
      <c r="B118" s="76" t="str">
        <f>IF(Sammanställning!$S80&lt;&gt;"",Sammanställning!O80,"")</f>
        <v/>
      </c>
      <c r="C118" s="77" t="str">
        <f>IF(Sammanställning!$S80&lt;&gt;"",Sammanställning!P80,"")</f>
        <v/>
      </c>
      <c r="D118" s="78" t="str">
        <f>IF(Sammanställning!$S80&lt;&gt;"",Sammanställning!Q80,"")</f>
        <v/>
      </c>
      <c r="E118" s="79" t="str">
        <f>IF(Sammanställning!$S80&lt;&gt;"",Sammanställning!R80,"")</f>
        <v/>
      </c>
      <c r="F118" s="72" t="str">
        <f>IF(Sammanställning!$S80&lt;&gt;"",Sammanställning!X80,"")</f>
        <v/>
      </c>
      <c r="G118" s="80" t="str">
        <f>IF(Sammanställning!$S80&lt;&gt;"",Sammanställning!T80,"")</f>
        <v/>
      </c>
      <c r="H118" s="97" t="str">
        <f>IF(Sammanställning!$S80&lt;&gt;"",Sammanställning!U80,"")</f>
        <v/>
      </c>
      <c r="I118" s="99" t="str">
        <f>IF(Sammanställning!$S80&lt;&gt;"",Sammanställning!V80,"")</f>
        <v/>
      </c>
      <c r="J118" s="101">
        <f t="shared" si="2"/>
        <v>0</v>
      </c>
      <c r="K118" s="103">
        <f t="shared" si="3"/>
        <v>0</v>
      </c>
      <c r="L118" s="81" cm="1">
        <f t="array" ref="L118">IFERROR(_xlfn.IFS(I118="/påbörjad h",H118*K118,I118="/tillfälle",H118,I118="/pers/påbörjad h",E118*H118*K118,I118="/pers",E118*H118,I118="/instruktör",E118*H118,I118="/instruktör/påbörjad h",E118*H118*K118,I118="/st",E118*H118,I118="/bord",E118*H118,I118="",0),0)</f>
        <v>0</v>
      </c>
    </row>
    <row r="119" spans="1:12" ht="19.649999999999999" hidden="1" customHeight="1" x14ac:dyDescent="0.25">
      <c r="A119" s="75" t="str">
        <f>IF(Sammanställning!$S81&lt;&gt;"",Sammanställning!N81,"")</f>
        <v/>
      </c>
      <c r="B119" s="76" t="str">
        <f>IF(Sammanställning!$S81&lt;&gt;"",Sammanställning!O81,"")</f>
        <v/>
      </c>
      <c r="C119" s="77" t="str">
        <f>IF(Sammanställning!$S81&lt;&gt;"",Sammanställning!P81,"")</f>
        <v/>
      </c>
      <c r="D119" s="78" t="str">
        <f>IF(Sammanställning!$S81&lt;&gt;"",Sammanställning!Q81,"")</f>
        <v/>
      </c>
      <c r="E119" s="79" t="str">
        <f>IF(Sammanställning!$S81&lt;&gt;"",Sammanställning!R81,"")</f>
        <v/>
      </c>
      <c r="F119" s="72" t="str">
        <f>IF(Sammanställning!$S81&lt;&gt;"",Sammanställning!X81,"")</f>
        <v/>
      </c>
      <c r="G119" s="80" t="str">
        <f>IF(Sammanställning!$S81&lt;&gt;"",Sammanställning!T81,"")</f>
        <v/>
      </c>
      <c r="H119" s="97" t="str">
        <f>IF(Sammanställning!$S81&lt;&gt;"",Sammanställning!U81,"")</f>
        <v/>
      </c>
      <c r="I119" s="99" t="str">
        <f>IF(Sammanställning!$S81&lt;&gt;"",Sammanställning!V81,"")</f>
        <v/>
      </c>
      <c r="J119" s="101">
        <f t="shared" si="2"/>
        <v>0</v>
      </c>
      <c r="K119" s="103">
        <f t="shared" si="3"/>
        <v>0</v>
      </c>
      <c r="L119" s="81" cm="1">
        <f t="array" ref="L119">IFERROR(_xlfn.IFS(I119="/påbörjad h",H119*K119,I119="/tillfälle",H119,I119="/pers/påbörjad h",E119*H119*K119,I119="/pers",E119*H119,I119="/instruktör",E119*H119,I119="/instruktör/påbörjad h",E119*H119*K119,I119="/st",E119*H119,I119="/bord",E119*H119,I119="",0),0)</f>
        <v>0</v>
      </c>
    </row>
    <row r="120" spans="1:12" ht="19.649999999999999" hidden="1" customHeight="1" x14ac:dyDescent="0.25">
      <c r="A120" s="75" t="str">
        <f>IF(Sammanställning!$S82&lt;&gt;"",Sammanställning!N82,"")</f>
        <v/>
      </c>
      <c r="B120" s="76" t="str">
        <f>IF(Sammanställning!$S82&lt;&gt;"",Sammanställning!O82,"")</f>
        <v/>
      </c>
      <c r="C120" s="77" t="str">
        <f>IF(Sammanställning!$S82&lt;&gt;"",Sammanställning!P82,"")</f>
        <v/>
      </c>
      <c r="D120" s="78" t="str">
        <f>IF(Sammanställning!$S82&lt;&gt;"",Sammanställning!Q82,"")</f>
        <v/>
      </c>
      <c r="E120" s="79" t="str">
        <f>IF(Sammanställning!$S82&lt;&gt;"",Sammanställning!R82,"")</f>
        <v/>
      </c>
      <c r="F120" s="72" t="str">
        <f>IF(Sammanställning!$S82&lt;&gt;"",Sammanställning!X82,"")</f>
        <v/>
      </c>
      <c r="G120" s="80" t="str">
        <f>IF(Sammanställning!$S82&lt;&gt;"",Sammanställning!T82,"")</f>
        <v/>
      </c>
      <c r="H120" s="97" t="str">
        <f>IF(Sammanställning!$S82&lt;&gt;"",Sammanställning!U82,"")</f>
        <v/>
      </c>
      <c r="I120" s="99" t="str">
        <f>IF(Sammanställning!$S82&lt;&gt;"",Sammanställning!V82,"")</f>
        <v/>
      </c>
      <c r="J120" s="101">
        <f t="shared" si="2"/>
        <v>0</v>
      </c>
      <c r="K120" s="103">
        <f t="shared" si="3"/>
        <v>0</v>
      </c>
      <c r="L120" s="81" cm="1">
        <f t="array" ref="L120">IFERROR(_xlfn.IFS(I120="/påbörjad h",H120*K120,I120="/tillfälle",H120,I120="/pers/påbörjad h",E120*H120*K120,I120="/pers",E120*H120,I120="/instruktör",E120*H120,I120="/instruktör/påbörjad h",E120*H120*K120,I120="/st",E120*H120,I120="/bord",E120*H120,I120="",0),0)</f>
        <v>0</v>
      </c>
    </row>
    <row r="121" spans="1:12" ht="19.649999999999999" hidden="1" customHeight="1" x14ac:dyDescent="0.25">
      <c r="A121" s="75" t="str">
        <f>IF(Sammanställning!$S83&lt;&gt;"",Sammanställning!N83,"")</f>
        <v/>
      </c>
      <c r="B121" s="76" t="str">
        <f>IF(Sammanställning!$S83&lt;&gt;"",Sammanställning!O83,"")</f>
        <v/>
      </c>
      <c r="C121" s="77" t="str">
        <f>IF(Sammanställning!$S83&lt;&gt;"",Sammanställning!P83,"")</f>
        <v/>
      </c>
      <c r="D121" s="78" t="str">
        <f>IF(Sammanställning!$S83&lt;&gt;"",Sammanställning!Q83,"")</f>
        <v/>
      </c>
      <c r="E121" s="79" t="str">
        <f>IF(Sammanställning!$S83&lt;&gt;"",Sammanställning!R83,"")</f>
        <v/>
      </c>
      <c r="F121" s="72" t="str">
        <f>IF(Sammanställning!$S83&lt;&gt;"",Sammanställning!X83,"")</f>
        <v/>
      </c>
      <c r="G121" s="80" t="str">
        <f>IF(Sammanställning!$S83&lt;&gt;"",Sammanställning!T83,"")</f>
        <v/>
      </c>
      <c r="H121" s="97" t="str">
        <f>IF(Sammanställning!$S83&lt;&gt;"",Sammanställning!U83,"")</f>
        <v/>
      </c>
      <c r="I121" s="99" t="str">
        <f>IF(Sammanställning!$S83&lt;&gt;"",Sammanställning!V83,"")</f>
        <v/>
      </c>
      <c r="J121" s="101">
        <f t="shared" si="2"/>
        <v>0</v>
      </c>
      <c r="K121" s="103">
        <f t="shared" si="3"/>
        <v>0</v>
      </c>
      <c r="L121" s="81" cm="1">
        <f t="array" ref="L121">IFERROR(_xlfn.IFS(I121="/påbörjad h",H121*K121,I121="/tillfälle",H121,I121="/pers/påbörjad h",E121*H121*K121,I121="/pers",E121*H121,I121="/instruktör",E121*H121,I121="/instruktör/påbörjad h",E121*H121*K121,I121="/st",E121*H121,I121="/bord",E121*H121,I121="",0),0)</f>
        <v>0</v>
      </c>
    </row>
    <row r="122" spans="1:12" ht="19.649999999999999" hidden="1" customHeight="1" x14ac:dyDescent="0.25">
      <c r="A122" s="75" t="str">
        <f>IF(Sammanställning!$S84&lt;&gt;"",Sammanställning!N84,"")</f>
        <v/>
      </c>
      <c r="B122" s="76" t="str">
        <f>IF(Sammanställning!$S84&lt;&gt;"",Sammanställning!O84,"")</f>
        <v/>
      </c>
      <c r="C122" s="77" t="str">
        <f>IF(Sammanställning!$S84&lt;&gt;"",Sammanställning!P84,"")</f>
        <v/>
      </c>
      <c r="D122" s="78" t="str">
        <f>IF(Sammanställning!$S84&lt;&gt;"",Sammanställning!Q84,"")</f>
        <v/>
      </c>
      <c r="E122" s="79" t="str">
        <f>IF(Sammanställning!$S84&lt;&gt;"",Sammanställning!R84,"")</f>
        <v/>
      </c>
      <c r="F122" s="72" t="str">
        <f>IF(Sammanställning!$S84&lt;&gt;"",Sammanställning!X84,"")</f>
        <v/>
      </c>
      <c r="G122" s="80" t="str">
        <f>IF(Sammanställning!$S84&lt;&gt;"",Sammanställning!T84,"")</f>
        <v/>
      </c>
      <c r="H122" s="97" t="str">
        <f>IF(Sammanställning!$S84&lt;&gt;"",Sammanställning!U84,"")</f>
        <v/>
      </c>
      <c r="I122" s="99" t="str">
        <f>IF(Sammanställning!$S84&lt;&gt;"",Sammanställning!V84,"")</f>
        <v/>
      </c>
      <c r="J122" s="101">
        <f t="shared" si="2"/>
        <v>0</v>
      </c>
      <c r="K122" s="103">
        <f t="shared" si="3"/>
        <v>0</v>
      </c>
      <c r="L122" s="81" cm="1">
        <f t="array" ref="L122">IFERROR(_xlfn.IFS(I122="/påbörjad h",H122*K122,I122="/tillfälle",H122,I122="/pers/påbörjad h",E122*H122*K122,I122="/pers",E122*H122,I122="/instruktör",E122*H122,I122="/instruktör/påbörjad h",E122*H122*K122,I122="/st",E122*H122,I122="/bord",E122*H122,I122="",0),0)</f>
        <v>0</v>
      </c>
    </row>
    <row r="123" spans="1:12" ht="19.649999999999999" hidden="1" customHeight="1" x14ac:dyDescent="0.25">
      <c r="A123" s="75" t="str">
        <f>IF(Sammanställning!$S85&lt;&gt;"",Sammanställning!N85,"")</f>
        <v/>
      </c>
      <c r="B123" s="76" t="str">
        <f>IF(Sammanställning!$S85&lt;&gt;"",Sammanställning!O85,"")</f>
        <v/>
      </c>
      <c r="C123" s="77" t="str">
        <f>IF(Sammanställning!$S85&lt;&gt;"",Sammanställning!P85,"")</f>
        <v/>
      </c>
      <c r="D123" s="78" t="str">
        <f>IF(Sammanställning!$S85&lt;&gt;"",Sammanställning!Q85,"")</f>
        <v/>
      </c>
      <c r="E123" s="79" t="str">
        <f>IF(Sammanställning!$S85&lt;&gt;"",Sammanställning!R85,"")</f>
        <v/>
      </c>
      <c r="F123" s="72" t="str">
        <f>IF(Sammanställning!$S85&lt;&gt;"",Sammanställning!X85,"")</f>
        <v/>
      </c>
      <c r="G123" s="80" t="str">
        <f>IF(Sammanställning!$S85&lt;&gt;"",Sammanställning!T85,"")</f>
        <v/>
      </c>
      <c r="H123" s="97" t="str">
        <f>IF(Sammanställning!$S85&lt;&gt;"",Sammanställning!U85,"")</f>
        <v/>
      </c>
      <c r="I123" s="99" t="str">
        <f>IF(Sammanställning!$S85&lt;&gt;"",Sammanställning!V85,"")</f>
        <v/>
      </c>
      <c r="J123" s="101">
        <f t="shared" si="2"/>
        <v>0</v>
      </c>
      <c r="K123" s="103">
        <f t="shared" si="3"/>
        <v>0</v>
      </c>
      <c r="L123" s="81" cm="1">
        <f t="array" ref="L123">IFERROR(_xlfn.IFS(I123="/påbörjad h",H123*K123,I123="/tillfälle",H123,I123="/pers/påbörjad h",E123*H123*K123,I123="/pers",E123*H123,I123="/instruktör",E123*H123,I123="/instruktör/påbörjad h",E123*H123*K123,I123="/st",E123*H123,I123="/bord",E123*H123,I123="",0),0)</f>
        <v>0</v>
      </c>
    </row>
    <row r="124" spans="1:12" ht="19.649999999999999" hidden="1" customHeight="1" x14ac:dyDescent="0.25">
      <c r="A124" s="75" t="str">
        <f>IF(Sammanställning!$S86&lt;&gt;"",Sammanställning!N86,"")</f>
        <v/>
      </c>
      <c r="B124" s="76" t="str">
        <f>IF(Sammanställning!$S86&lt;&gt;"",Sammanställning!O86,"")</f>
        <v/>
      </c>
      <c r="C124" s="77" t="str">
        <f>IF(Sammanställning!$S86&lt;&gt;"",Sammanställning!P86,"")</f>
        <v/>
      </c>
      <c r="D124" s="78" t="str">
        <f>IF(Sammanställning!$S86&lt;&gt;"",Sammanställning!Q86,"")</f>
        <v/>
      </c>
      <c r="E124" s="79" t="str">
        <f>IF(Sammanställning!$S86&lt;&gt;"",Sammanställning!R86,"")</f>
        <v/>
      </c>
      <c r="F124" s="72" t="str">
        <f>IF(Sammanställning!$S86&lt;&gt;"",Sammanställning!X86,"")</f>
        <v/>
      </c>
      <c r="G124" s="80" t="str">
        <f>IF(Sammanställning!$S86&lt;&gt;"",Sammanställning!T86,"")</f>
        <v/>
      </c>
      <c r="H124" s="97" t="str">
        <f>IF(Sammanställning!$S86&lt;&gt;"",Sammanställning!U86,"")</f>
        <v/>
      </c>
      <c r="I124" s="99" t="str">
        <f>IF(Sammanställning!$S86&lt;&gt;"",Sammanställning!V86,"")</f>
        <v/>
      </c>
      <c r="J124" s="101">
        <f t="shared" si="2"/>
        <v>0</v>
      </c>
      <c r="K124" s="103">
        <f t="shared" si="3"/>
        <v>0</v>
      </c>
      <c r="L124" s="81" cm="1">
        <f t="array" ref="L124">IFERROR(_xlfn.IFS(I124="/påbörjad h",H124*K124,I124="/tillfälle",H124,I124="/pers/påbörjad h",E124*H124*K124,I124="/pers",E124*H124,I124="/instruktör",E124*H124,I124="/instruktör/påbörjad h",E124*H124*K124,I124="/st",E124*H124,I124="/bord",E124*H124,I124="",0),0)</f>
        <v>0</v>
      </c>
    </row>
    <row r="125" spans="1:12" ht="19.649999999999999" hidden="1" customHeight="1" x14ac:dyDescent="0.25">
      <c r="A125" s="75" t="str">
        <f>IF(Sammanställning!$S87&lt;&gt;"",Sammanställning!N87,"")</f>
        <v/>
      </c>
      <c r="B125" s="76" t="str">
        <f>IF(Sammanställning!$S87&lt;&gt;"",Sammanställning!O87,"")</f>
        <v/>
      </c>
      <c r="C125" s="77" t="str">
        <f>IF(Sammanställning!$S87&lt;&gt;"",Sammanställning!P87,"")</f>
        <v/>
      </c>
      <c r="D125" s="78" t="str">
        <f>IF(Sammanställning!$S87&lt;&gt;"",Sammanställning!Q87,"")</f>
        <v/>
      </c>
      <c r="E125" s="79" t="str">
        <f>IF(Sammanställning!$S87&lt;&gt;"",Sammanställning!R87,"")</f>
        <v/>
      </c>
      <c r="F125" s="72" t="str">
        <f>IF(Sammanställning!$S87&lt;&gt;"",Sammanställning!X87,"")</f>
        <v/>
      </c>
      <c r="G125" s="80" t="str">
        <f>IF(Sammanställning!$S87&lt;&gt;"",Sammanställning!T87,"")</f>
        <v/>
      </c>
      <c r="H125" s="97" t="str">
        <f>IF(Sammanställning!$S87&lt;&gt;"",Sammanställning!U87,"")</f>
        <v/>
      </c>
      <c r="I125" s="99" t="str">
        <f>IF(Sammanställning!$S87&lt;&gt;"",Sammanställning!V87,"")</f>
        <v/>
      </c>
      <c r="J125" s="101">
        <f t="shared" si="2"/>
        <v>0</v>
      </c>
      <c r="K125" s="103">
        <f t="shared" si="3"/>
        <v>0</v>
      </c>
      <c r="L125" s="81" cm="1">
        <f t="array" ref="L125">IFERROR(_xlfn.IFS(I125="/påbörjad h",H125*K125,I125="/tillfälle",H125,I125="/pers/påbörjad h",E125*H125*K125,I125="/pers",E125*H125,I125="/instruktör",E125*H125,I125="/instruktör/påbörjad h",E125*H125*K125,I125="/st",E125*H125,I125="/bord",E125*H125,I125="",0),0)</f>
        <v>0</v>
      </c>
    </row>
    <row r="126" spans="1:12" ht="19.649999999999999" hidden="1" customHeight="1" x14ac:dyDescent="0.25">
      <c r="A126" s="75" t="str">
        <f>IF(Sammanställning!$S88&lt;&gt;"",Sammanställning!N88,"")</f>
        <v/>
      </c>
      <c r="B126" s="76" t="str">
        <f>IF(Sammanställning!$S88&lt;&gt;"",Sammanställning!O88,"")</f>
        <v/>
      </c>
      <c r="C126" s="77" t="str">
        <f>IF(Sammanställning!$S88&lt;&gt;"",Sammanställning!P88,"")</f>
        <v/>
      </c>
      <c r="D126" s="78" t="str">
        <f>IF(Sammanställning!$S88&lt;&gt;"",Sammanställning!Q88,"")</f>
        <v/>
      </c>
      <c r="E126" s="79" t="str">
        <f>IF(Sammanställning!$S88&lt;&gt;"",Sammanställning!R88,"")</f>
        <v/>
      </c>
      <c r="F126" s="72" t="str">
        <f>IF(Sammanställning!$S88&lt;&gt;"",Sammanställning!X88,"")</f>
        <v/>
      </c>
      <c r="G126" s="80" t="str">
        <f>IF(Sammanställning!$S88&lt;&gt;"",Sammanställning!T88,"")</f>
        <v/>
      </c>
      <c r="H126" s="97" t="str">
        <f>IF(Sammanställning!$S88&lt;&gt;"",Sammanställning!U88,"")</f>
        <v/>
      </c>
      <c r="I126" s="99" t="str">
        <f>IF(Sammanställning!$S88&lt;&gt;"",Sammanställning!V88,"")</f>
        <v/>
      </c>
      <c r="J126" s="101">
        <f t="shared" si="2"/>
        <v>0</v>
      </c>
      <c r="K126" s="103">
        <f t="shared" si="3"/>
        <v>0</v>
      </c>
      <c r="L126" s="81" cm="1">
        <f t="array" ref="L126">IFERROR(_xlfn.IFS(I126="/påbörjad h",H126*K126,I126="/tillfälle",H126,I126="/pers/påbörjad h",E126*H126*K126,I126="/pers",E126*H126,I126="/instruktör",E126*H126,I126="/instruktör/påbörjad h",E126*H126*K126,I126="/st",E126*H126,I126="/bord",E126*H126,I126="",0),0)</f>
        <v>0</v>
      </c>
    </row>
    <row r="127" spans="1:12" ht="19.649999999999999" hidden="1" customHeight="1" x14ac:dyDescent="0.25">
      <c r="A127" s="75" t="str">
        <f>IF(Sammanställning!$S89&lt;&gt;"",Sammanställning!N89,"")</f>
        <v/>
      </c>
      <c r="B127" s="76" t="str">
        <f>IF(Sammanställning!$S89&lt;&gt;"",Sammanställning!O89,"")</f>
        <v/>
      </c>
      <c r="C127" s="77" t="str">
        <f>IF(Sammanställning!$S89&lt;&gt;"",Sammanställning!P89,"")</f>
        <v/>
      </c>
      <c r="D127" s="78" t="str">
        <f>IF(Sammanställning!$S89&lt;&gt;"",Sammanställning!Q89,"")</f>
        <v/>
      </c>
      <c r="E127" s="79" t="str">
        <f>IF(Sammanställning!$S89&lt;&gt;"",Sammanställning!R89,"")</f>
        <v/>
      </c>
      <c r="F127" s="72" t="str">
        <f>IF(Sammanställning!$S89&lt;&gt;"",Sammanställning!X89,"")</f>
        <v/>
      </c>
      <c r="G127" s="80" t="str">
        <f>IF(Sammanställning!$S89&lt;&gt;"",Sammanställning!T89,"")</f>
        <v/>
      </c>
      <c r="H127" s="97" t="str">
        <f>IF(Sammanställning!$S89&lt;&gt;"",Sammanställning!U89,"")</f>
        <v/>
      </c>
      <c r="I127" s="99" t="str">
        <f>IF(Sammanställning!$S89&lt;&gt;"",Sammanställning!V89,"")</f>
        <v/>
      </c>
      <c r="J127" s="101">
        <f t="shared" si="2"/>
        <v>0</v>
      </c>
      <c r="K127" s="103">
        <f t="shared" si="3"/>
        <v>0</v>
      </c>
      <c r="L127" s="81" cm="1">
        <f t="array" ref="L127">IFERROR(_xlfn.IFS(I127="/påbörjad h",H127*K127,I127="/tillfälle",H127,I127="/pers/påbörjad h",E127*H127*K127,I127="/pers",E127*H127,I127="/instruktör",E127*H127,I127="/instruktör/påbörjad h",E127*H127*K127,I127="/st",E127*H127,I127="/bord",E127*H127,I127="",0),0)</f>
        <v>0</v>
      </c>
    </row>
    <row r="128" spans="1:12" ht="19.649999999999999" hidden="1" customHeight="1" x14ac:dyDescent="0.25">
      <c r="A128" s="75" t="str">
        <f>IF(Sammanställning!$S90&lt;&gt;"",Sammanställning!N90,"")</f>
        <v/>
      </c>
      <c r="B128" s="76" t="str">
        <f>IF(Sammanställning!$S90&lt;&gt;"",Sammanställning!O90,"")</f>
        <v/>
      </c>
      <c r="C128" s="77" t="str">
        <f>IF(Sammanställning!$S90&lt;&gt;"",Sammanställning!P90,"")</f>
        <v/>
      </c>
      <c r="D128" s="78" t="str">
        <f>IF(Sammanställning!$S90&lt;&gt;"",Sammanställning!Q90,"")</f>
        <v/>
      </c>
      <c r="E128" s="79" t="str">
        <f>IF(Sammanställning!$S90&lt;&gt;"",Sammanställning!R90,"")</f>
        <v/>
      </c>
      <c r="F128" s="72" t="str">
        <f>IF(Sammanställning!$S90&lt;&gt;"",Sammanställning!X90,"")</f>
        <v/>
      </c>
      <c r="G128" s="80" t="str">
        <f>IF(Sammanställning!$S90&lt;&gt;"",Sammanställning!T90,"")</f>
        <v/>
      </c>
      <c r="H128" s="97" t="str">
        <f>IF(Sammanställning!$S90&lt;&gt;"",Sammanställning!U90,"")</f>
        <v/>
      </c>
      <c r="I128" s="99" t="str">
        <f>IF(Sammanställning!$S90&lt;&gt;"",Sammanställning!V90,"")</f>
        <v/>
      </c>
      <c r="J128" s="101">
        <f t="shared" si="2"/>
        <v>0</v>
      </c>
      <c r="K128" s="103">
        <f t="shared" si="3"/>
        <v>0</v>
      </c>
      <c r="L128" s="81" cm="1">
        <f t="array" ref="L128">IFERROR(_xlfn.IFS(I128="/påbörjad h",H128*K128,I128="/tillfälle",H128,I128="/pers/påbörjad h",E128*H128*K128,I128="/pers",E128*H128,I128="/instruktör",E128*H128,I128="/instruktör/påbörjad h",E128*H128*K128,I128="/st",E128*H128,I128="/bord",E128*H128,I128="",0),0)</f>
        <v>0</v>
      </c>
    </row>
    <row r="129" spans="1:12" ht="19.649999999999999" hidden="1" customHeight="1" x14ac:dyDescent="0.25">
      <c r="A129" s="75" t="str">
        <f>IF(Sammanställning!$S91&lt;&gt;"",Sammanställning!N91,"")</f>
        <v/>
      </c>
      <c r="B129" s="76" t="str">
        <f>IF(Sammanställning!$S91&lt;&gt;"",Sammanställning!O91,"")</f>
        <v/>
      </c>
      <c r="C129" s="77" t="str">
        <f>IF(Sammanställning!$S91&lt;&gt;"",Sammanställning!P91,"")</f>
        <v/>
      </c>
      <c r="D129" s="78" t="str">
        <f>IF(Sammanställning!$S91&lt;&gt;"",Sammanställning!Q91,"")</f>
        <v/>
      </c>
      <c r="E129" s="79" t="str">
        <f>IF(Sammanställning!$S91&lt;&gt;"",Sammanställning!R91,"")</f>
        <v/>
      </c>
      <c r="F129" s="72" t="str">
        <f>IF(Sammanställning!$S91&lt;&gt;"",Sammanställning!X91,"")</f>
        <v/>
      </c>
      <c r="G129" s="80" t="str">
        <f>IF(Sammanställning!$S91&lt;&gt;"",Sammanställning!T91,"")</f>
        <v/>
      </c>
      <c r="H129" s="97" t="str">
        <f>IF(Sammanställning!$S91&lt;&gt;"",Sammanställning!U91,"")</f>
        <v/>
      </c>
      <c r="I129" s="99" t="str">
        <f>IF(Sammanställning!$S91&lt;&gt;"",Sammanställning!V91,"")</f>
        <v/>
      </c>
      <c r="J129" s="101">
        <f t="shared" si="2"/>
        <v>0</v>
      </c>
      <c r="K129" s="103">
        <f t="shared" si="3"/>
        <v>0</v>
      </c>
      <c r="L129" s="81" cm="1">
        <f t="array" ref="L129">IFERROR(_xlfn.IFS(I129="/påbörjad h",H129*K129,I129="/tillfälle",H129,I129="/pers/påbörjad h",E129*H129*K129,I129="/pers",E129*H129,I129="/instruktör",E129*H129,I129="/instruktör/påbörjad h",E129*H129*K129,I129="/st",E129*H129,I129="/bord",E129*H129,I129="",0),0)</f>
        <v>0</v>
      </c>
    </row>
    <row r="130" spans="1:12" ht="19.649999999999999" hidden="1" customHeight="1" x14ac:dyDescent="0.25">
      <c r="A130" s="75" t="str">
        <f>IF(Sammanställning!$S92&lt;&gt;"",Sammanställning!N92,"")</f>
        <v/>
      </c>
      <c r="B130" s="76" t="str">
        <f>IF(Sammanställning!$S92&lt;&gt;"",Sammanställning!O92,"")</f>
        <v/>
      </c>
      <c r="C130" s="77" t="str">
        <f>IF(Sammanställning!$S92&lt;&gt;"",Sammanställning!P92,"")</f>
        <v/>
      </c>
      <c r="D130" s="78" t="str">
        <f>IF(Sammanställning!$S92&lt;&gt;"",Sammanställning!Q92,"")</f>
        <v/>
      </c>
      <c r="E130" s="79" t="str">
        <f>IF(Sammanställning!$S92&lt;&gt;"",Sammanställning!R92,"")</f>
        <v/>
      </c>
      <c r="F130" s="72" t="str">
        <f>IF(Sammanställning!$S92&lt;&gt;"",Sammanställning!X92,"")</f>
        <v/>
      </c>
      <c r="G130" s="80" t="str">
        <f>IF(Sammanställning!$S92&lt;&gt;"",Sammanställning!T92,"")</f>
        <v/>
      </c>
      <c r="H130" s="97" t="str">
        <f>IF(Sammanställning!$S92&lt;&gt;"",Sammanställning!U92,"")</f>
        <v/>
      </c>
      <c r="I130" s="99" t="str">
        <f>IF(Sammanställning!$S92&lt;&gt;"",Sammanställning!V92,"")</f>
        <v/>
      </c>
      <c r="J130" s="101">
        <f t="shared" si="2"/>
        <v>0</v>
      </c>
      <c r="K130" s="103">
        <f t="shared" si="3"/>
        <v>0</v>
      </c>
      <c r="L130" s="81" cm="1">
        <f t="array" ref="L130">IFERROR(_xlfn.IFS(I130="/påbörjad h",H130*K130,I130="/tillfälle",H130,I130="/pers/påbörjad h",E130*H130*K130,I130="/pers",E130*H130,I130="/instruktör",E130*H130,I130="/instruktör/påbörjad h",E130*H130*K130,I130="/st",E130*H130,I130="/bord",E130*H130,I130="",0),0)</f>
        <v>0</v>
      </c>
    </row>
    <row r="131" spans="1:12" ht="19.649999999999999" hidden="1" customHeight="1" x14ac:dyDescent="0.25">
      <c r="A131" s="75" t="str">
        <f>IF(Sammanställning!$S93&lt;&gt;"",Sammanställning!N93,"")</f>
        <v/>
      </c>
      <c r="B131" s="76" t="str">
        <f>IF(Sammanställning!$S93&lt;&gt;"",Sammanställning!O93,"")</f>
        <v/>
      </c>
      <c r="C131" s="77" t="str">
        <f>IF(Sammanställning!$S93&lt;&gt;"",Sammanställning!P93,"")</f>
        <v/>
      </c>
      <c r="D131" s="78" t="str">
        <f>IF(Sammanställning!$S93&lt;&gt;"",Sammanställning!Q93,"")</f>
        <v/>
      </c>
      <c r="E131" s="79" t="str">
        <f>IF(Sammanställning!$S93&lt;&gt;"",Sammanställning!R93,"")</f>
        <v/>
      </c>
      <c r="F131" s="72" t="str">
        <f>IF(Sammanställning!$S93&lt;&gt;"",Sammanställning!X93,"")</f>
        <v/>
      </c>
      <c r="G131" s="80" t="str">
        <f>IF(Sammanställning!$S93&lt;&gt;"",Sammanställning!T93,"")</f>
        <v/>
      </c>
      <c r="H131" s="97" t="str">
        <f>IF(Sammanställning!$S93&lt;&gt;"",Sammanställning!U93,"")</f>
        <v/>
      </c>
      <c r="I131" s="99" t="str">
        <f>IF(Sammanställning!$S93&lt;&gt;"",Sammanställning!V93,"")</f>
        <v/>
      </c>
      <c r="J131" s="101">
        <f t="shared" si="2"/>
        <v>0</v>
      </c>
      <c r="K131" s="103">
        <f t="shared" si="3"/>
        <v>0</v>
      </c>
      <c r="L131" s="81" cm="1">
        <f t="array" ref="L131">IFERROR(_xlfn.IFS(I131="/påbörjad h",H131*K131,I131="/tillfälle",H131,I131="/pers/påbörjad h",E131*H131*K131,I131="/pers",E131*H131,I131="/instruktör",E131*H131,I131="/instruktör/påbörjad h",E131*H131*K131,I131="/st",E131*H131,I131="/bord",E131*H131,I131="",0),0)</f>
        <v>0</v>
      </c>
    </row>
    <row r="132" spans="1:12" ht="19.649999999999999" hidden="1" customHeight="1" x14ac:dyDescent="0.25">
      <c r="A132" s="75" t="str">
        <f>IF(Sammanställning!$S94&lt;&gt;"",Sammanställning!N94,"")</f>
        <v/>
      </c>
      <c r="B132" s="76" t="str">
        <f>IF(Sammanställning!$S94&lt;&gt;"",Sammanställning!O94,"")</f>
        <v/>
      </c>
      <c r="C132" s="77" t="str">
        <f>IF(Sammanställning!$S94&lt;&gt;"",Sammanställning!P94,"")</f>
        <v/>
      </c>
      <c r="D132" s="78" t="str">
        <f>IF(Sammanställning!$S94&lt;&gt;"",Sammanställning!Q94,"")</f>
        <v/>
      </c>
      <c r="E132" s="79" t="str">
        <f>IF(Sammanställning!$S94&lt;&gt;"",Sammanställning!R94,"")</f>
        <v/>
      </c>
      <c r="F132" s="72" t="str">
        <f>IF(Sammanställning!$S94&lt;&gt;"",Sammanställning!X94,"")</f>
        <v/>
      </c>
      <c r="G132" s="80" t="str">
        <f>IF(Sammanställning!$S94&lt;&gt;"",Sammanställning!T94,"")</f>
        <v/>
      </c>
      <c r="H132" s="97" t="str">
        <f>IF(Sammanställning!$S94&lt;&gt;"",Sammanställning!U94,"")</f>
        <v/>
      </c>
      <c r="I132" s="99" t="str">
        <f>IF(Sammanställning!$S94&lt;&gt;"",Sammanställning!V94,"")</f>
        <v/>
      </c>
      <c r="J132" s="101">
        <f t="shared" si="2"/>
        <v>0</v>
      </c>
      <c r="K132" s="103">
        <f t="shared" si="3"/>
        <v>0</v>
      </c>
      <c r="L132" s="81" cm="1">
        <f t="array" ref="L132">IFERROR(_xlfn.IFS(I132="/påbörjad h",H132*K132,I132="/tillfälle",H132,I132="/pers/påbörjad h",E132*H132*K132,I132="/pers",E132*H132,I132="/instruktör",E132*H132,I132="/instruktör/påbörjad h",E132*H132*K132,I132="/st",E132*H132,I132="/bord",E132*H132,I132="",0),0)</f>
        <v>0</v>
      </c>
    </row>
    <row r="133" spans="1:12" ht="19.649999999999999" hidden="1" customHeight="1" x14ac:dyDescent="0.25">
      <c r="A133" s="75" t="str">
        <f>IF(Sammanställning!$S95&lt;&gt;"",Sammanställning!N95,"")</f>
        <v/>
      </c>
      <c r="B133" s="76" t="str">
        <f>IF(Sammanställning!$S95&lt;&gt;"",Sammanställning!O95,"")</f>
        <v/>
      </c>
      <c r="C133" s="77" t="str">
        <f>IF(Sammanställning!$S95&lt;&gt;"",Sammanställning!P95,"")</f>
        <v/>
      </c>
      <c r="D133" s="78" t="str">
        <f>IF(Sammanställning!$S95&lt;&gt;"",Sammanställning!Q95,"")</f>
        <v/>
      </c>
      <c r="E133" s="79" t="str">
        <f>IF(Sammanställning!$S95&lt;&gt;"",Sammanställning!R95,"")</f>
        <v/>
      </c>
      <c r="F133" s="72" t="str">
        <f>IF(Sammanställning!$S95&lt;&gt;"",Sammanställning!X95,"")</f>
        <v/>
      </c>
      <c r="G133" s="80" t="str">
        <f>IF(Sammanställning!$S95&lt;&gt;"",Sammanställning!T95,"")</f>
        <v/>
      </c>
      <c r="H133" s="97" t="str">
        <f>IF(Sammanställning!$S95&lt;&gt;"",Sammanställning!U95,"")</f>
        <v/>
      </c>
      <c r="I133" s="99" t="str">
        <f>IF(Sammanställning!$S95&lt;&gt;"",Sammanställning!V95,"")</f>
        <v/>
      </c>
      <c r="J133" s="101">
        <f t="shared" si="2"/>
        <v>0</v>
      </c>
      <c r="K133" s="103">
        <f t="shared" si="3"/>
        <v>0</v>
      </c>
      <c r="L133" s="81" cm="1">
        <f t="array" ref="L133">IFERROR(_xlfn.IFS(I133="/påbörjad h",H133*K133,I133="/tillfälle",H133,I133="/pers/påbörjad h",E133*H133*K133,I133="/pers",E133*H133,I133="/instruktör",E133*H133,I133="/instruktör/påbörjad h",E133*H133*K133,I133="/st",E133*H133,I133="/bord",E133*H133,I133="",0),0)</f>
        <v>0</v>
      </c>
    </row>
    <row r="134" spans="1:12" ht="19.649999999999999" hidden="1" customHeight="1" x14ac:dyDescent="0.25">
      <c r="A134" s="75" t="str">
        <f>IF(Sammanställning!$S96&lt;&gt;"",Sammanställning!N96,"")</f>
        <v/>
      </c>
      <c r="B134" s="76" t="str">
        <f>IF(Sammanställning!$S96&lt;&gt;"",Sammanställning!O96,"")</f>
        <v/>
      </c>
      <c r="C134" s="77" t="str">
        <f>IF(Sammanställning!$S96&lt;&gt;"",Sammanställning!P96,"")</f>
        <v/>
      </c>
      <c r="D134" s="78" t="str">
        <f>IF(Sammanställning!$S96&lt;&gt;"",Sammanställning!Q96,"")</f>
        <v/>
      </c>
      <c r="E134" s="79" t="str">
        <f>IF(Sammanställning!$S96&lt;&gt;"",Sammanställning!R96,"")</f>
        <v/>
      </c>
      <c r="F134" s="72" t="str">
        <f>IF(Sammanställning!$S96&lt;&gt;"",Sammanställning!X96,"")</f>
        <v/>
      </c>
      <c r="G134" s="80" t="str">
        <f>IF(Sammanställning!$S96&lt;&gt;"",Sammanställning!T96,"")</f>
        <v/>
      </c>
      <c r="H134" s="97" t="str">
        <f>IF(Sammanställning!$S96&lt;&gt;"",Sammanställning!U96,"")</f>
        <v/>
      </c>
      <c r="I134" s="99" t="str">
        <f>IF(Sammanställning!$S96&lt;&gt;"",Sammanställning!V96,"")</f>
        <v/>
      </c>
      <c r="J134" s="101">
        <f t="shared" si="2"/>
        <v>0</v>
      </c>
      <c r="K134" s="103">
        <f t="shared" si="3"/>
        <v>0</v>
      </c>
      <c r="L134" s="81" cm="1">
        <f t="array" ref="L134">IFERROR(_xlfn.IFS(I134="/påbörjad h",H134*K134,I134="/tillfälle",H134,I134="/pers/påbörjad h",E134*H134*K134,I134="/pers",E134*H134,I134="/instruktör",E134*H134,I134="/instruktör/påbörjad h",E134*H134*K134,I134="/st",E134*H134,I134="/bord",E134*H134,I134="",0),0)</f>
        <v>0</v>
      </c>
    </row>
    <row r="135" spans="1:12" ht="19.649999999999999" customHeight="1" x14ac:dyDescent="0.3">
      <c r="A135" s="82"/>
      <c r="B135" s="82"/>
      <c r="C135" s="83"/>
      <c r="D135" s="82"/>
      <c r="E135" s="84"/>
      <c r="F135" s="84"/>
      <c r="G135" s="85" t="s">
        <v>987</v>
      </c>
      <c r="H135" s="86"/>
      <c r="I135" s="87" t="s">
        <v>988</v>
      </c>
      <c r="J135" s="88">
        <f>SUBTOTAL(109,Tabell2377379[Summa])</f>
        <v>0</v>
      </c>
      <c r="K135" s="89"/>
      <c r="L135" s="90">
        <f>SUBTOTAL(109,Tabell2377379[Pris, beräkning])</f>
        <v>0</v>
      </c>
    </row>
  </sheetData>
  <sheetProtection algorithmName="SHA-512" hashValue="A9YWJNTNBXuM217wfR2kdhrsIFrhcGTAvyizQfJSxlZbdg9TcADzdOdXHea89VlIgE+78AeD2lajO/liJxV5Aw==" saltValue="kjOhgAgevatcvUDZl5VFSw==" spinCount="100000" sheet="1" objects="1" scenarios="1" autoFilter="0" pivotTables="0"/>
  <mergeCells count="13">
    <mergeCell ref="A6:I6"/>
    <mergeCell ref="A1:F1"/>
    <mergeCell ref="A2:F2"/>
    <mergeCell ref="A3:F3"/>
    <mergeCell ref="A4:I4"/>
    <mergeCell ref="A5:I5"/>
    <mergeCell ref="A14:I14"/>
    <mergeCell ref="A7:I7"/>
    <mergeCell ref="A8:I8"/>
    <mergeCell ref="A9:I9"/>
    <mergeCell ref="A10:I10"/>
    <mergeCell ref="A11:I11"/>
    <mergeCell ref="A12:I12"/>
  </mergeCells>
  <conditionalFormatting sqref="A5">
    <cfRule type="expression" dxfId="5" priority="1">
      <formula>OR(IF($A5="-",1))</formula>
    </cfRule>
  </conditionalFormatting>
  <conditionalFormatting sqref="A2:F2">
    <cfRule type="expression" dxfId="4" priority="2">
      <formula>OR(IF($A2="-",1))</formula>
    </cfRule>
  </conditionalFormatting>
  <conditionalFormatting sqref="A40:F134 H40:L134">
    <cfRule type="expression" dxfId="3" priority="3">
      <formula>OR(IF($F40=TRUE,1))</formula>
    </cfRule>
  </conditionalFormatting>
  <hyperlinks>
    <hyperlink ref="A14" r:id="rId1" display="Viktig information gällande parkeringssituationen vid Westinghouse arena" xr:uid="{1C2EA0C8-0211-49B2-BBB9-791829C5ED12}"/>
    <hyperlink ref="A14:I14" r:id="rId2" display="Länk till viktig information gällande parkeringssituationen vid Westinghouse arena" xr:uid="{DE5B43F3-B7B3-4087-88EC-CFE110D3E506}"/>
  </hyperlinks>
  <printOptions horizontalCentered="1"/>
  <pageMargins left="0.31496062992125984" right="0.31496062992125984" top="1.5354330708661419" bottom="0.51181102362204722" header="0.51181102362204722" footer="0.31496062992125984"/>
  <pageSetup paperSize="9" fitToWidth="0" fitToHeight="0" orientation="portrait" r:id="rId3"/>
  <headerFooter differentFirst="1">
    <oddHeader>&amp;R&amp;G</oddHeader>
    <oddFooter>&amp;C&amp;P / &amp;N</oddFooter>
    <firstHeader>&amp;L&amp;"+,Fet"&amp;20Bokningsbekräftelse&amp;"+,Normal"&amp;11
&amp;"+,Fet"&amp;14Westinghouse arena</firstHeader>
    <firstFooter>&amp;C&amp;P / &amp;N</firstFooter>
  </headerFooter>
  <rowBreaks count="1" manualBreakCount="1">
    <brk id="38" max="16383" man="1"/>
  </rowBreaks>
  <drawing r:id="rId4"/>
  <legacyDrawingHF r:id="rId5"/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C9863BF-B437-4760-9E25-030D5E1984A4}">
          <x14:formula1>
            <xm:f>Listor!$O$2:$O$5</xm:f>
          </x14:formula1>
          <xm:sqref>A2:F2</xm:sqref>
        </x14:dataValidation>
        <x14:dataValidation type="list" allowBlank="1" showInputMessage="1" showErrorMessage="1" xr:uid="{1FCEC23A-8F10-462A-875D-F0BBDFC093C5}">
          <x14:formula1>
            <xm:f>Kontaktuppgifter!$A$2:$A$300</xm:f>
          </x14:formula1>
          <xm:sqref>A5:I5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99F3A-FFA6-4CC4-8FB7-1A5EB8CEC554}">
  <sheetPr codeName="Blad58"/>
  <dimension ref="A1:L43"/>
  <sheetViews>
    <sheetView showGridLines="0" showZeros="0" view="pageLayout" zoomScaleNormal="100" workbookViewId="0">
      <selection activeCell="F14" sqref="F14"/>
    </sheetView>
  </sheetViews>
  <sheetFormatPr defaultColWidth="9.109375" defaultRowHeight="15.6" customHeight="1" x14ac:dyDescent="0.3"/>
  <cols>
    <col min="1" max="1" width="7.44140625" style="123" customWidth="1"/>
    <col min="2" max="2" width="10.5546875" style="123" customWidth="1"/>
    <col min="3" max="3" width="8.33203125" style="147" customWidth="1"/>
    <col min="4" max="4" width="5.6640625" style="148" customWidth="1"/>
    <col min="5" max="5" width="9.44140625" style="149" customWidth="1"/>
    <col min="6" max="6" width="12" style="124" customWidth="1"/>
    <col min="7" max="7" width="10.5546875" style="150" customWidth="1"/>
    <col min="8" max="8" width="18.109375" style="123" customWidth="1"/>
    <col min="9" max="9" width="9" style="151" customWidth="1"/>
    <col min="10" max="10" width="16.33203125" style="123" hidden="1" customWidth="1"/>
    <col min="11" max="11" width="14.44140625" style="123" bestFit="1" customWidth="1"/>
    <col min="12" max="12" width="8.5546875" style="123" bestFit="1" customWidth="1"/>
    <col min="13" max="13" width="21.5546875" style="124" bestFit="1" customWidth="1"/>
    <col min="14" max="14" width="20.6640625" style="124" bestFit="1" customWidth="1"/>
    <col min="15" max="15" width="21.44140625" style="124" bestFit="1" customWidth="1"/>
    <col min="16" max="16384" width="9.109375" style="124"/>
  </cols>
  <sheetData>
    <row r="1" spans="1:12" s="153" customFormat="1" ht="21" customHeight="1" x14ac:dyDescent="0.3">
      <c r="A1" s="152" t="s">
        <v>1000</v>
      </c>
      <c r="B1" s="152"/>
      <c r="C1" s="152"/>
      <c r="J1" s="154"/>
      <c r="K1" s="154"/>
      <c r="L1" s="154"/>
    </row>
    <row r="2" spans="1:12" s="111" customFormat="1" ht="15.6" customHeight="1" x14ac:dyDescent="0.3">
      <c r="A2" s="109" t="s">
        <v>1001</v>
      </c>
      <c r="B2" s="109"/>
      <c r="C2" s="190" t="s">
        <v>134</v>
      </c>
      <c r="D2" s="190"/>
      <c r="E2" s="190"/>
      <c r="F2" s="190"/>
      <c r="G2" s="190"/>
      <c r="J2" s="110"/>
      <c r="K2" s="110"/>
      <c r="L2" s="110"/>
    </row>
    <row r="3" spans="1:12" s="111" customFormat="1" ht="15.6" customHeight="1" x14ac:dyDescent="0.3">
      <c r="A3" s="109" t="s">
        <v>1002</v>
      </c>
      <c r="B3" s="109"/>
      <c r="C3" s="189" t="str">
        <f>_xlfn.XLOOKUP($C$2,TabellKontaktuppgifter[GRUPP/LAG/SKOLA/ETC.],TabellKontaktuppgifter[KONTAKT],"-")</f>
        <v>-</v>
      </c>
      <c r="D3" s="189"/>
      <c r="E3" s="189"/>
      <c r="F3" s="189"/>
      <c r="G3" s="189"/>
      <c r="H3" s="189"/>
      <c r="I3" s="189"/>
      <c r="J3" s="110"/>
      <c r="K3" s="110"/>
      <c r="L3" s="110"/>
    </row>
    <row r="4" spans="1:12" s="111" customFormat="1" ht="15.6" customHeight="1" x14ac:dyDescent="0.3">
      <c r="A4" s="109" t="s">
        <v>1003</v>
      </c>
      <c r="B4" s="109"/>
      <c r="C4" s="189" t="str">
        <f>_xlfn.XLOOKUP($C$2,TabellKontaktuppgifter[GRUPP/LAG/SKOLA/ETC.],TabellKontaktuppgifter[FAKTURERINGSADRESS],"-")</f>
        <v>-</v>
      </c>
      <c r="D4" s="189"/>
      <c r="E4" s="189"/>
      <c r="F4" s="189"/>
      <c r="G4" s="189"/>
      <c r="H4" s="189"/>
      <c r="I4" s="189"/>
      <c r="J4" s="110"/>
      <c r="K4" s="110"/>
      <c r="L4" s="110"/>
    </row>
    <row r="5" spans="1:12" s="111" customFormat="1" ht="15.6" customHeight="1" x14ac:dyDescent="0.3">
      <c r="A5" s="109" t="s">
        <v>1004</v>
      </c>
      <c r="B5" s="109"/>
      <c r="C5" s="189" t="str">
        <f>_xlfn.XLOOKUP($C$2,TabellKontaktuppgifter[GRUPP/LAG/SKOLA/ETC.],TabellKontaktuppgifter[MEJLFAKTURERING],"-")</f>
        <v>-</v>
      </c>
      <c r="D5" s="189"/>
      <c r="E5" s="189"/>
      <c r="F5" s="189"/>
      <c r="G5" s="189"/>
      <c r="H5" s="189"/>
      <c r="I5" s="189"/>
      <c r="J5" s="110"/>
      <c r="K5" s="110"/>
      <c r="L5" s="110"/>
    </row>
    <row r="6" spans="1:12" s="111" customFormat="1" ht="15.6" customHeight="1" x14ac:dyDescent="0.3">
      <c r="A6" s="109" t="s">
        <v>1005</v>
      </c>
      <c r="B6" s="109"/>
      <c r="C6" s="189" t="str">
        <f>_xlfn.XLOOKUP($C$2,TabellKontaktuppgifter[GRUPP/LAG/SKOLA/ETC.],TabellKontaktuppgifter[REFERENS],"-")</f>
        <v>-</v>
      </c>
      <c r="D6" s="189"/>
      <c r="E6" s="189"/>
      <c r="F6" s="189"/>
      <c r="G6" s="189"/>
      <c r="H6" s="189"/>
      <c r="I6" s="189"/>
      <c r="J6" s="110"/>
      <c r="K6" s="110"/>
      <c r="L6" s="110"/>
    </row>
    <row r="7" spans="1:12" s="111" customFormat="1" ht="15.6" customHeight="1" x14ac:dyDescent="0.3">
      <c r="A7" s="109" t="s">
        <v>1013</v>
      </c>
      <c r="B7" s="109"/>
      <c r="C7" s="189" t="str">
        <f>_xlfn.XLOOKUP($C$2,TabellKontaktuppgifter[GRUPP/LAG/SKOLA/ETC.],TabellKontaktuppgifter[PEPPOL-ID],"-")</f>
        <v>-</v>
      </c>
      <c r="D7" s="189"/>
      <c r="E7" s="189"/>
      <c r="F7" s="189"/>
      <c r="G7" s="189"/>
      <c r="H7" s="189"/>
      <c r="I7" s="189"/>
      <c r="J7" s="110"/>
      <c r="K7" s="110"/>
      <c r="L7" s="110"/>
    </row>
    <row r="8" spans="1:12" s="111" customFormat="1" ht="15.6" customHeight="1" x14ac:dyDescent="0.3">
      <c r="A8" s="109" t="s">
        <v>1014</v>
      </c>
      <c r="B8" s="109"/>
      <c r="C8" s="189" t="str">
        <f>_xlfn.XLOOKUP($C$2,TabellKontaktuppgifter[GRUPP/LAG/SKOLA/ETC.],TabellKontaktuppgifter[GLN-NUMMER],"-")</f>
        <v>-</v>
      </c>
      <c r="D8" s="189"/>
      <c r="E8" s="189"/>
      <c r="F8" s="189"/>
      <c r="G8" s="189"/>
      <c r="H8" s="189"/>
      <c r="I8" s="189"/>
      <c r="J8" s="110"/>
      <c r="K8" s="110"/>
      <c r="L8" s="110"/>
    </row>
    <row r="9" spans="1:12" s="111" customFormat="1" ht="14.4" x14ac:dyDescent="0.3">
      <c r="J9" s="110"/>
      <c r="K9" s="110"/>
      <c r="L9" s="110"/>
    </row>
    <row r="10" spans="1:12" s="39" customFormat="1" ht="17.100000000000001" customHeight="1" x14ac:dyDescent="0.3">
      <c r="A10" s="112" t="s">
        <v>977</v>
      </c>
      <c r="B10" s="112" t="s">
        <v>18</v>
      </c>
      <c r="C10" s="113" t="s">
        <v>978</v>
      </c>
      <c r="D10" s="114"/>
      <c r="E10" s="112" t="s">
        <v>807</v>
      </c>
      <c r="F10" s="112" t="s">
        <v>981</v>
      </c>
      <c r="G10" s="115"/>
      <c r="H10" s="114" t="s">
        <v>808</v>
      </c>
      <c r="I10" s="112" t="s">
        <v>984</v>
      </c>
      <c r="J10" s="112" t="s">
        <v>985</v>
      </c>
      <c r="K10" s="37"/>
      <c r="L10" s="37"/>
    </row>
    <row r="11" spans="1:12" ht="15.75" customHeight="1" x14ac:dyDescent="0.25">
      <c r="A11" s="102" t="str">
        <f>IF(Sammanställning!$AF2&lt;&gt;"",Sammanställning!AA2,"")</f>
        <v/>
      </c>
      <c r="B11" s="116" t="str">
        <f>IF(Sammanställning!$AF2&lt;&gt;"",Sammanställning!AB2,"")</f>
        <v/>
      </c>
      <c r="C11" s="117" t="str">
        <f>IF(Sammanställning!$AF2&lt;&gt;"",Sammanställning!AC2,"")</f>
        <v/>
      </c>
      <c r="D11" s="118" t="str">
        <f>IF(Sammanställning!$AF2&lt;&gt;"",Sammanställning!AD2,"")</f>
        <v/>
      </c>
      <c r="E11" s="119" t="str">
        <f>IF(Sammanställning!$AF2&lt;&gt;"",Sammanställning!AE2,"")</f>
        <v/>
      </c>
      <c r="F11" s="120" t="str">
        <f>IF(Sammanställning!$AF2&lt;&gt;"",Sammanställning!AG2,"")</f>
        <v/>
      </c>
      <c r="G11" s="121" t="str">
        <f>IF(Sammanställning!$AF2&lt;&gt;"",Sammanställning!AH2,"")</f>
        <v/>
      </c>
      <c r="H11" s="122" t="str">
        <f>IF(Sammanställning!$AF2&lt;&gt;"",Sammanställning!AI2,"")</f>
        <v/>
      </c>
      <c r="I11" s="104" cm="1">
        <f t="array" ref="I11">_xlfn.IFS(H11="/påbörjad h",G11*J11,H11="/tillfälle",G11,H11="/pers/påbörjad h",G11*E11*J11,H11="/pers",G11*E11,H11="/instruktör",G11*E11,H11="/instruktör/påbörjad h",G11*E11*J11,H11="/st",G11*E11,H11="/bord",G11*E11,H11="",0)</f>
        <v>0</v>
      </c>
      <c r="J11" s="107">
        <f t="shared" ref="J11:J42" si="0">IFERROR(ROUNDUP((D11-C11)*24,0),0)</f>
        <v>0</v>
      </c>
    </row>
    <row r="12" spans="1:12" ht="15.75" customHeight="1" x14ac:dyDescent="0.3">
      <c r="A12" s="108" t="str">
        <f>IF(Sammanställning!$AF3&lt;&gt;"",Sammanställning!AA3,"")</f>
        <v/>
      </c>
      <c r="B12" s="125" t="str">
        <f>IF(Sammanställning!$AF3&lt;&gt;"",Sammanställning!AB3,"")</f>
        <v/>
      </c>
      <c r="C12" s="126" t="str">
        <f>IF(Sammanställning!$AF3&lt;&gt;"",Sammanställning!AC3,"")</f>
        <v/>
      </c>
      <c r="D12" s="127" t="str">
        <f>IF(Sammanställning!$AF3&lt;&gt;"",Sammanställning!AD3,"")</f>
        <v/>
      </c>
      <c r="E12" s="128" t="str">
        <f>IF(Sammanställning!$AF3&lt;&gt;"",Sammanställning!AE3,"")</f>
        <v/>
      </c>
      <c r="F12" s="129" t="str">
        <f>IF(Sammanställning!$AF3&lt;&gt;"",Sammanställning!AG3,"")</f>
        <v/>
      </c>
      <c r="G12" s="130" t="str">
        <f>IF(Sammanställning!$AF3&lt;&gt;"",Sammanställning!AH3,"")</f>
        <v/>
      </c>
      <c r="H12" s="131" t="str">
        <f>IF(Sammanställning!$AF3&lt;&gt;"",Sammanställning!AI3,"")</f>
        <v/>
      </c>
      <c r="I12" s="105" cm="1">
        <f t="array" ref="I12">IFERROR(_xlfn.IFS(H12="/påbörjad h",G12*J12,H12="/tillfälle",G12,H12="/pers/påbörjad h",G12*E12*J12,H12="/pers",G12*E12,H12="/instruktör",G12*E12,H12="/instruktör/påbörjad h",G12*E12*J12,H12="/st",G12*E12,H12="/bord",G12*E12,H12="",0),0)</f>
        <v>0</v>
      </c>
      <c r="J12" s="108">
        <f t="shared" si="0"/>
        <v>0</v>
      </c>
    </row>
    <row r="13" spans="1:12" ht="15.75" customHeight="1" x14ac:dyDescent="0.3">
      <c r="A13" s="108" t="str">
        <f>IF(Sammanställning!$AF4&lt;&gt;"",Sammanställning!AA4,"")</f>
        <v/>
      </c>
      <c r="B13" s="125" t="str">
        <f>IF(Sammanställning!$AF4&lt;&gt;"",Sammanställning!AB4,"")</f>
        <v/>
      </c>
      <c r="C13" s="126" t="str">
        <f>IF(Sammanställning!$AF4&lt;&gt;"",Sammanställning!AC4,"")</f>
        <v/>
      </c>
      <c r="D13" s="127" t="str">
        <f>IF(Sammanställning!$AF4&lt;&gt;"",Sammanställning!AD4,"")</f>
        <v/>
      </c>
      <c r="E13" s="128" t="str">
        <f>IF(Sammanställning!$AF4&lt;&gt;"",Sammanställning!AE4,"")</f>
        <v/>
      </c>
      <c r="F13" s="129" t="str">
        <f>IF(Sammanställning!$AF4&lt;&gt;"",Sammanställning!AG4,"")</f>
        <v/>
      </c>
      <c r="G13" s="130" t="str">
        <f>IF(Sammanställning!$AF4&lt;&gt;"",Sammanställning!AH4,"")</f>
        <v/>
      </c>
      <c r="H13" s="131" t="str">
        <f>IF(Sammanställning!$AF4&lt;&gt;"",Sammanställning!AI4,"")</f>
        <v/>
      </c>
      <c r="I13" s="105" cm="1">
        <f t="array" ref="I13">IFERROR(_xlfn.IFS(H13="/påbörjad h",G13*J13,H13="/tillfälle",G13,H13="/pers/påbörjad h",G13*E13*J13,H13="/pers",G13*E13,H13="/instruktör",G13*E13,H13="/instruktör/påbörjad h",G13*E13*J13,H13="/st",G13*E13,H13="/bord",G13*E13,H13="",0),0)</f>
        <v>0</v>
      </c>
      <c r="J13" s="108">
        <f t="shared" si="0"/>
        <v>0</v>
      </c>
    </row>
    <row r="14" spans="1:12" ht="15.75" customHeight="1" x14ac:dyDescent="0.3">
      <c r="A14" s="108" t="str">
        <f>IF(Sammanställning!$AF5&lt;&gt;"",Sammanställning!AA5,"")</f>
        <v/>
      </c>
      <c r="B14" s="125" t="str">
        <f>IF(Sammanställning!$AF5&lt;&gt;"",Sammanställning!AB5,"")</f>
        <v/>
      </c>
      <c r="C14" s="126" t="str">
        <f>IF(Sammanställning!$AF5&lt;&gt;"",Sammanställning!AC5,"")</f>
        <v/>
      </c>
      <c r="D14" s="127" t="str">
        <f>IF(Sammanställning!$AF5&lt;&gt;"",Sammanställning!AD5,"")</f>
        <v/>
      </c>
      <c r="E14" s="128" t="str">
        <f>IF(Sammanställning!$AF5&lt;&gt;"",Sammanställning!AE5,"")</f>
        <v/>
      </c>
      <c r="F14" s="129" t="str">
        <f>IF(Sammanställning!$AF5&lt;&gt;"",Sammanställning!AG5,"")</f>
        <v/>
      </c>
      <c r="G14" s="130" t="str">
        <f>IF(Sammanställning!$AF5&lt;&gt;"",Sammanställning!AH5,"")</f>
        <v/>
      </c>
      <c r="H14" s="131" t="str">
        <f>IF(Sammanställning!$AF5&lt;&gt;"",Sammanställning!AI5,"")</f>
        <v/>
      </c>
      <c r="I14" s="105" cm="1">
        <f t="array" ref="I14">IFERROR(_xlfn.IFS(H14="/påbörjad h",G14*J14,H14="/tillfälle",G14,H14="/pers/påbörjad h",G14*E14*J14,H14="/pers",G14*E14,H14="/instruktör",G14*E14,H14="/instruktör/påbörjad h",G14*E14*J14,H14="/st",G14*E14,H14="/bord",G14*E14,H14="",0),0)</f>
        <v>0</v>
      </c>
      <c r="J14" s="108">
        <f t="shared" si="0"/>
        <v>0</v>
      </c>
    </row>
    <row r="15" spans="1:12" ht="15.75" customHeight="1" x14ac:dyDescent="0.3">
      <c r="A15" s="108" t="str">
        <f>IF(Sammanställning!$AF6&lt;&gt;"",Sammanställning!AA6,"")</f>
        <v/>
      </c>
      <c r="B15" s="125" t="str">
        <f>IF(Sammanställning!$AF6&lt;&gt;"",Sammanställning!AB6,"")</f>
        <v/>
      </c>
      <c r="C15" s="126" t="str">
        <f>IF(Sammanställning!$AF6&lt;&gt;"",Sammanställning!AC6,"")</f>
        <v/>
      </c>
      <c r="D15" s="127" t="str">
        <f>IF(Sammanställning!$AF6&lt;&gt;"",Sammanställning!AD6,"")</f>
        <v/>
      </c>
      <c r="E15" s="128" t="str">
        <f>IF(Sammanställning!$AF6&lt;&gt;"",Sammanställning!AE6,"")</f>
        <v/>
      </c>
      <c r="F15" s="129" t="str">
        <f>IF(Sammanställning!$AF6&lt;&gt;"",Sammanställning!AG6,"")</f>
        <v/>
      </c>
      <c r="G15" s="130" t="str">
        <f>IF(Sammanställning!$AF6&lt;&gt;"",Sammanställning!AH6,"")</f>
        <v/>
      </c>
      <c r="H15" s="131" t="str">
        <f>IF(Sammanställning!$AF6&lt;&gt;"",Sammanställning!AI6,"")</f>
        <v/>
      </c>
      <c r="I15" s="105" cm="1">
        <f t="array" ref="I15">IFERROR(_xlfn.IFS(H15="/påbörjad h",G15*J15,H15="/tillfälle",G15,H15="/pers/påbörjad h",G15*E15*J15,H15="/pers",G15*E15,H15="/instruktör",G15*E15,H15="/instruktör/påbörjad h",G15*E15*J15,H15="/st",G15*E15,H15="/bord",G15*E15,H15="",0),0)</f>
        <v>0</v>
      </c>
      <c r="J15" s="108">
        <f t="shared" si="0"/>
        <v>0</v>
      </c>
    </row>
    <row r="16" spans="1:12" ht="15.75" customHeight="1" x14ac:dyDescent="0.3">
      <c r="A16" s="108" t="str">
        <f>IF(Sammanställning!$AF7&lt;&gt;"",Sammanställning!AA7,"")</f>
        <v/>
      </c>
      <c r="B16" s="125" t="str">
        <f>IF(Sammanställning!$AF7&lt;&gt;"",Sammanställning!AB7,"")</f>
        <v/>
      </c>
      <c r="C16" s="126" t="str">
        <f>IF(Sammanställning!$AF7&lt;&gt;"",Sammanställning!AC7,"")</f>
        <v/>
      </c>
      <c r="D16" s="127" t="str">
        <f>IF(Sammanställning!$AF7&lt;&gt;"",Sammanställning!AD7,"")</f>
        <v/>
      </c>
      <c r="E16" s="128" t="str">
        <f>IF(Sammanställning!$AF7&lt;&gt;"",Sammanställning!AE7,"")</f>
        <v/>
      </c>
      <c r="F16" s="129" t="str">
        <f>IF(Sammanställning!$AF7&lt;&gt;"",Sammanställning!AG7,"")</f>
        <v/>
      </c>
      <c r="G16" s="130" t="str">
        <f>IF(Sammanställning!$AF7&lt;&gt;"",Sammanställning!AH7,"")</f>
        <v/>
      </c>
      <c r="H16" s="131" t="str">
        <f>IF(Sammanställning!$AF7&lt;&gt;"",Sammanställning!AI7,"")</f>
        <v/>
      </c>
      <c r="I16" s="105" cm="1">
        <f t="array" ref="I16">IFERROR(_xlfn.IFS(H16="/påbörjad h",G16*J16,H16="/tillfälle",G16,H16="/pers/påbörjad h",G16*E16*J16,H16="/pers",G16*E16,H16="/instruktör",G16*E16,H16="/instruktör/påbörjad h",G16*E16*J16,H16="/st",G16*E16,H16="/bord",G16*E16,H16="",0),0)</f>
        <v>0</v>
      </c>
      <c r="J16" s="108">
        <f t="shared" si="0"/>
        <v>0</v>
      </c>
    </row>
    <row r="17" spans="1:10" ht="15.75" customHeight="1" x14ac:dyDescent="0.3">
      <c r="A17" s="108" t="str">
        <f>IF(Sammanställning!$AF8&lt;&gt;"",Sammanställning!AA8,"")</f>
        <v/>
      </c>
      <c r="B17" s="125" t="str">
        <f>IF(Sammanställning!$AF8&lt;&gt;"",Sammanställning!AB8,"")</f>
        <v/>
      </c>
      <c r="C17" s="126" t="str">
        <f>IF(Sammanställning!$AF8&lt;&gt;"",Sammanställning!AC8,"")</f>
        <v/>
      </c>
      <c r="D17" s="127" t="str">
        <f>IF(Sammanställning!$AF8&lt;&gt;"",Sammanställning!AD8,"")</f>
        <v/>
      </c>
      <c r="E17" s="128" t="str">
        <f>IF(Sammanställning!$AF8&lt;&gt;"",Sammanställning!AE8,"")</f>
        <v/>
      </c>
      <c r="F17" s="129" t="str">
        <f>IF(Sammanställning!$AF8&lt;&gt;"",Sammanställning!AG8,"")</f>
        <v/>
      </c>
      <c r="G17" s="130" t="str">
        <f>IF(Sammanställning!$AF8&lt;&gt;"",Sammanställning!AH8,"")</f>
        <v/>
      </c>
      <c r="H17" s="131" t="str">
        <f>IF(Sammanställning!$AF8&lt;&gt;"",Sammanställning!AI8,"")</f>
        <v/>
      </c>
      <c r="I17" s="105" cm="1">
        <f t="array" ref="I17">IFERROR(_xlfn.IFS(H17="/påbörjad h",G17*J17,H17="/tillfälle",G17,H17="/pers/påbörjad h",G17*E17*J17,H17="/pers",G17*E17,H17="/instruktör",G17*E17,H17="/instruktör/påbörjad h",G17*E17*J17,H17="/st",G17*E17,H17="/bord",G17*E17,H17="",0),0)</f>
        <v>0</v>
      </c>
      <c r="J17" s="108">
        <f t="shared" si="0"/>
        <v>0</v>
      </c>
    </row>
    <row r="18" spans="1:10" ht="15.75" customHeight="1" x14ac:dyDescent="0.3">
      <c r="A18" s="108" t="str">
        <f>IF(Sammanställning!$AF9&lt;&gt;"",Sammanställning!AA9,"")</f>
        <v/>
      </c>
      <c r="B18" s="125" t="str">
        <f>IF(Sammanställning!$AF9&lt;&gt;"",Sammanställning!AB9,"")</f>
        <v/>
      </c>
      <c r="C18" s="126" t="str">
        <f>IF(Sammanställning!$AF9&lt;&gt;"",Sammanställning!AC9,"")</f>
        <v/>
      </c>
      <c r="D18" s="127" t="str">
        <f>IF(Sammanställning!$AF9&lt;&gt;"",Sammanställning!AD9,"")</f>
        <v/>
      </c>
      <c r="E18" s="128" t="str">
        <f>IF(Sammanställning!$AF9&lt;&gt;"",Sammanställning!AE9,"")</f>
        <v/>
      </c>
      <c r="F18" s="129" t="str">
        <f>IF(Sammanställning!$AF9&lt;&gt;"",Sammanställning!AG9,"")</f>
        <v/>
      </c>
      <c r="G18" s="130" t="str">
        <f>IF(Sammanställning!$AF9&lt;&gt;"",Sammanställning!AH9,"")</f>
        <v/>
      </c>
      <c r="H18" s="131" t="str">
        <f>IF(Sammanställning!$AF9&lt;&gt;"",Sammanställning!AI9,"")</f>
        <v/>
      </c>
      <c r="I18" s="105" cm="1">
        <f t="array" ref="I18">IFERROR(_xlfn.IFS(H18="/påbörjad h",G18*J18,H18="/tillfälle",G18,H18="/pers/påbörjad h",G18*E18*J18,H18="/pers",G18*E18,H18="/instruktör",G18*E18,H18="/instruktör/påbörjad h",G18*E18*J18,H18="/st",G18*E18,H18="/bord",G18*E18,H18="",0),0)</f>
        <v>0</v>
      </c>
      <c r="J18" s="108">
        <f t="shared" si="0"/>
        <v>0</v>
      </c>
    </row>
    <row r="19" spans="1:10" s="123" customFormat="1" ht="15.75" customHeight="1" x14ac:dyDescent="0.3">
      <c r="A19" s="108" t="str">
        <f>IF(Sammanställning!$AF10&lt;&gt;"",Sammanställning!AA10,"")</f>
        <v/>
      </c>
      <c r="B19" s="125" t="str">
        <f>IF(Sammanställning!$AF10&lt;&gt;"",Sammanställning!AB10,"")</f>
        <v/>
      </c>
      <c r="C19" s="126" t="str">
        <f>IF(Sammanställning!$AF10&lt;&gt;"",Sammanställning!AC10,"")</f>
        <v/>
      </c>
      <c r="D19" s="127" t="str">
        <f>IF(Sammanställning!$AF10&lt;&gt;"",Sammanställning!AD10,"")</f>
        <v/>
      </c>
      <c r="E19" s="128" t="str">
        <f>IF(Sammanställning!$AF10&lt;&gt;"",Sammanställning!AE10,"")</f>
        <v/>
      </c>
      <c r="F19" s="129" t="str">
        <f>IF(Sammanställning!$AF10&lt;&gt;"",Sammanställning!AG10,"")</f>
        <v/>
      </c>
      <c r="G19" s="130" t="str">
        <f>IF(Sammanställning!$AF10&lt;&gt;"",Sammanställning!AH10,"")</f>
        <v/>
      </c>
      <c r="H19" s="131" t="str">
        <f>IF(Sammanställning!$AF10&lt;&gt;"",Sammanställning!AI10,"")</f>
        <v/>
      </c>
      <c r="I19" s="105" cm="1">
        <f t="array" ref="I19">IFERROR(_xlfn.IFS(H19="/påbörjad h",G19*J19,H19="/tillfälle",G19,H19="/pers/påbörjad h",G19*E19*J19,H19="/pers",G19*E19,H19="/instruktör",G19*E19,H19="/instruktör/påbörjad h",G19*E19*J19,H19="/st",G19*E19,H19="/bord",G19*E19,H19="",0),0)</f>
        <v>0</v>
      </c>
      <c r="J19" s="108">
        <f t="shared" si="0"/>
        <v>0</v>
      </c>
    </row>
    <row r="20" spans="1:10" s="123" customFormat="1" ht="15.75" customHeight="1" x14ac:dyDescent="0.3">
      <c r="A20" s="108" t="str">
        <f>IF(Sammanställning!$AF11&lt;&gt;"",Sammanställning!AA11,"")</f>
        <v/>
      </c>
      <c r="B20" s="125" t="str">
        <f>IF(Sammanställning!$AF11&lt;&gt;"",Sammanställning!AB11,"")</f>
        <v/>
      </c>
      <c r="C20" s="126" t="str">
        <f>IF(Sammanställning!$AF11&lt;&gt;"",Sammanställning!AC11,"")</f>
        <v/>
      </c>
      <c r="D20" s="127" t="str">
        <f>IF(Sammanställning!$AF11&lt;&gt;"",Sammanställning!AD11,"")</f>
        <v/>
      </c>
      <c r="E20" s="128" t="str">
        <f>IF(Sammanställning!$AF11&lt;&gt;"",Sammanställning!AE11,"")</f>
        <v/>
      </c>
      <c r="F20" s="129" t="str">
        <f>IF(Sammanställning!$AF11&lt;&gt;"",Sammanställning!AG11,"")</f>
        <v/>
      </c>
      <c r="G20" s="130" t="str">
        <f>IF(Sammanställning!$AF11&lt;&gt;"",Sammanställning!AH11,"")</f>
        <v/>
      </c>
      <c r="H20" s="131" t="str">
        <f>IF(Sammanställning!$AF11&lt;&gt;"",Sammanställning!AI11,"")</f>
        <v/>
      </c>
      <c r="I20" s="105" cm="1">
        <f t="array" ref="I20">IFERROR(_xlfn.IFS(H20="/påbörjad h",G20*J20,H20="/tillfälle",G20,H20="/pers/påbörjad h",G20*E20*J20,H20="/pers",G20*E20,H20="/instruktör",G20*E20,H20="/instruktör/påbörjad h",G20*E20*J20,H20="/st",G20*E20,H20="/bord",G20*E20,H20="",0),0)</f>
        <v>0</v>
      </c>
      <c r="J20" s="108">
        <f t="shared" si="0"/>
        <v>0</v>
      </c>
    </row>
    <row r="21" spans="1:10" s="123" customFormat="1" ht="15.75" customHeight="1" x14ac:dyDescent="0.3">
      <c r="A21" s="108" t="str">
        <f>IF(Sammanställning!$AF12&lt;&gt;"",Sammanställning!AA12,"")</f>
        <v/>
      </c>
      <c r="B21" s="125" t="str">
        <f>IF(Sammanställning!$AF12&lt;&gt;"",Sammanställning!AB12,"")</f>
        <v/>
      </c>
      <c r="C21" s="126" t="str">
        <f>IF(Sammanställning!$AF12&lt;&gt;"",Sammanställning!AC12,"")</f>
        <v/>
      </c>
      <c r="D21" s="127" t="str">
        <f>IF(Sammanställning!$AF12&lt;&gt;"",Sammanställning!AD12,"")</f>
        <v/>
      </c>
      <c r="E21" s="128" t="str">
        <f>IF(Sammanställning!$AF12&lt;&gt;"",Sammanställning!AE12,"")</f>
        <v/>
      </c>
      <c r="F21" s="129" t="str">
        <f>IF(Sammanställning!$AF12&lt;&gt;"",Sammanställning!AG12,"")</f>
        <v/>
      </c>
      <c r="G21" s="130" t="str">
        <f>IF(Sammanställning!$AF12&lt;&gt;"",Sammanställning!AH12,"")</f>
        <v/>
      </c>
      <c r="H21" s="131" t="str">
        <f>IF(Sammanställning!$AF12&lt;&gt;"",Sammanställning!AI12,"")</f>
        <v/>
      </c>
      <c r="I21" s="105" cm="1">
        <f t="array" ref="I21">IFERROR(_xlfn.IFS(H21="/påbörjad h",G21*J21,H21="/tillfälle",G21,H21="/pers/påbörjad h",G21*E21*J21,H21="/pers",G21*E21,H21="/instruktör",G21*E21,H21="/instruktör/påbörjad h",G21*E21*J21,H21="/st",G21*E21,H21="/bord",G21*E21,H21="",0),0)</f>
        <v>0</v>
      </c>
      <c r="J21" s="108">
        <f t="shared" si="0"/>
        <v>0</v>
      </c>
    </row>
    <row r="22" spans="1:10" s="123" customFormat="1" ht="15.75" customHeight="1" x14ac:dyDescent="0.3">
      <c r="A22" s="108" t="str">
        <f>IF(Sammanställning!$AF13&lt;&gt;"",Sammanställning!AA13,"")</f>
        <v/>
      </c>
      <c r="B22" s="125" t="str">
        <f>IF(Sammanställning!$AF13&lt;&gt;"",Sammanställning!AB13,"")</f>
        <v/>
      </c>
      <c r="C22" s="126" t="str">
        <f>IF(Sammanställning!$AF13&lt;&gt;"",Sammanställning!AC13,"")</f>
        <v/>
      </c>
      <c r="D22" s="127" t="str">
        <f>IF(Sammanställning!$AF13&lt;&gt;"",Sammanställning!AD13,"")</f>
        <v/>
      </c>
      <c r="E22" s="128" t="str">
        <f>IF(Sammanställning!$AF13&lt;&gt;"",Sammanställning!AE13,"")</f>
        <v/>
      </c>
      <c r="F22" s="129" t="str">
        <f>IF(Sammanställning!$AF13&lt;&gt;"",Sammanställning!AG13,"")</f>
        <v/>
      </c>
      <c r="G22" s="130" t="str">
        <f>IF(Sammanställning!$AF13&lt;&gt;"",Sammanställning!AH13,"")</f>
        <v/>
      </c>
      <c r="H22" s="131" t="str">
        <f>IF(Sammanställning!$AF13&lt;&gt;"",Sammanställning!AI13,"")</f>
        <v/>
      </c>
      <c r="I22" s="105" cm="1">
        <f t="array" ref="I22">IFERROR(_xlfn.IFS(H22="/påbörjad h",G22*J22,H22="/tillfälle",G22,H22="/pers/påbörjad h",G22*E22*J22,H22="/pers",G22*E22,H22="/instruktör",G22*E22,H22="/instruktör/påbörjad h",G22*E22*J22,H22="/st",G22*E22,H22="/bord",G22*E22,H22="",0),0)</f>
        <v>0</v>
      </c>
      <c r="J22" s="108">
        <f t="shared" si="0"/>
        <v>0</v>
      </c>
    </row>
    <row r="23" spans="1:10" s="123" customFormat="1" ht="15.75" customHeight="1" x14ac:dyDescent="0.3">
      <c r="A23" s="108" t="str">
        <f>IF(Sammanställning!$AF14&lt;&gt;"",Sammanställning!AA14,"")</f>
        <v/>
      </c>
      <c r="B23" s="125" t="str">
        <f>IF(Sammanställning!$AF14&lt;&gt;"",Sammanställning!AB14,"")</f>
        <v/>
      </c>
      <c r="C23" s="126" t="str">
        <f>IF(Sammanställning!$AF14&lt;&gt;"",Sammanställning!AC14,"")</f>
        <v/>
      </c>
      <c r="D23" s="127" t="str">
        <f>IF(Sammanställning!$AF14&lt;&gt;"",Sammanställning!AD14,"")</f>
        <v/>
      </c>
      <c r="E23" s="128" t="str">
        <f>IF(Sammanställning!$AF14&lt;&gt;"",Sammanställning!AE14,"")</f>
        <v/>
      </c>
      <c r="F23" s="129" t="str">
        <f>IF(Sammanställning!$AF14&lt;&gt;"",Sammanställning!AG14,"")</f>
        <v/>
      </c>
      <c r="G23" s="130" t="str">
        <f>IF(Sammanställning!$AF14&lt;&gt;"",Sammanställning!AH14,"")</f>
        <v/>
      </c>
      <c r="H23" s="131" t="str">
        <f>IF(Sammanställning!$AF14&lt;&gt;"",Sammanställning!AI14,"")</f>
        <v/>
      </c>
      <c r="I23" s="105" cm="1">
        <f t="array" ref="I23">IFERROR(_xlfn.IFS(H23="/påbörjad h",G23*J23,H23="/tillfälle",G23,H23="/pers/påbörjad h",G23*E23*J23,H23="/pers",G23*E23,H23="/instruktör",G23*E23,H23="/instruktör/påbörjad h",G23*E23*J23,H23="/st",G23*E23,H23="/bord",G23*E23,H23="",0),0)</f>
        <v>0</v>
      </c>
      <c r="J23" s="108">
        <f t="shared" si="0"/>
        <v>0</v>
      </c>
    </row>
    <row r="24" spans="1:10" s="123" customFormat="1" ht="15.75" customHeight="1" x14ac:dyDescent="0.3">
      <c r="A24" s="108" t="str">
        <f>IF(Sammanställning!$AF15&lt;&gt;"",Sammanställning!AA15,"")</f>
        <v/>
      </c>
      <c r="B24" s="125" t="str">
        <f>IF(Sammanställning!$AF15&lt;&gt;"",Sammanställning!AB15,"")</f>
        <v/>
      </c>
      <c r="C24" s="126" t="str">
        <f>IF(Sammanställning!$AF15&lt;&gt;"",Sammanställning!AC15,"")</f>
        <v/>
      </c>
      <c r="D24" s="127" t="str">
        <f>IF(Sammanställning!$AF15&lt;&gt;"",Sammanställning!AD15,"")</f>
        <v/>
      </c>
      <c r="E24" s="128" t="str">
        <f>IF(Sammanställning!$AF15&lt;&gt;"",Sammanställning!AE15,"")</f>
        <v/>
      </c>
      <c r="F24" s="129" t="str">
        <f>IF(Sammanställning!$AF15&lt;&gt;"",Sammanställning!AG15,"")</f>
        <v/>
      </c>
      <c r="G24" s="130" t="str">
        <f>IF(Sammanställning!$AF15&lt;&gt;"",Sammanställning!AH15,"")</f>
        <v/>
      </c>
      <c r="H24" s="131" t="str">
        <f>IF(Sammanställning!$AF15&lt;&gt;"",Sammanställning!AI15,"")</f>
        <v/>
      </c>
      <c r="I24" s="105" cm="1">
        <f t="array" ref="I24">IFERROR(_xlfn.IFS(H24="/påbörjad h",G24*J24,H24="/tillfälle",G24,H24="/pers/påbörjad h",G24*E24*J24,H24="/pers",G24*E24,H24="/instruktör",G24*E24,H24="/instruktör/påbörjad h",G24*E24*J24,H24="/st",G24*E24,H24="/bord",G24*E24,H24="",0),0)</f>
        <v>0</v>
      </c>
      <c r="J24" s="108">
        <f t="shared" si="0"/>
        <v>0</v>
      </c>
    </row>
    <row r="25" spans="1:10" s="123" customFormat="1" ht="15.75" customHeight="1" x14ac:dyDescent="0.3">
      <c r="A25" s="108" t="str">
        <f>IF(Sammanställning!$AF16&lt;&gt;"",Sammanställning!AA16,"")</f>
        <v/>
      </c>
      <c r="B25" s="125" t="str">
        <f>IF(Sammanställning!$AF16&lt;&gt;"",Sammanställning!AB16,"")</f>
        <v/>
      </c>
      <c r="C25" s="126" t="str">
        <f>IF(Sammanställning!$AF16&lt;&gt;"",Sammanställning!AC16,"")</f>
        <v/>
      </c>
      <c r="D25" s="127" t="str">
        <f>IF(Sammanställning!$AF16&lt;&gt;"",Sammanställning!AD16,"")</f>
        <v/>
      </c>
      <c r="E25" s="128" t="str">
        <f>IF(Sammanställning!$AF16&lt;&gt;"",Sammanställning!AE16,"")</f>
        <v/>
      </c>
      <c r="F25" s="129" t="str">
        <f>IF(Sammanställning!$AF16&lt;&gt;"",Sammanställning!AG16,"")</f>
        <v/>
      </c>
      <c r="G25" s="130" t="str">
        <f>IF(Sammanställning!$AF16&lt;&gt;"",Sammanställning!AH16,"")</f>
        <v/>
      </c>
      <c r="H25" s="131" t="str">
        <f>IF(Sammanställning!$AF16&lt;&gt;"",Sammanställning!AI16,"")</f>
        <v/>
      </c>
      <c r="I25" s="105" cm="1">
        <f t="array" ref="I25">IFERROR(_xlfn.IFS(H25="/påbörjad h",G25*J25,H25="/tillfälle",G25,H25="/pers/påbörjad h",G25*E25*J25,H25="/pers",G25*E25,H25="/instruktör",G25*E25,H25="/instruktör/påbörjad h",G25*E25*J25,H25="/st",G25*E25,H25="/bord",G25*E25,H25="",0),0)</f>
        <v>0</v>
      </c>
      <c r="J25" s="108">
        <f t="shared" si="0"/>
        <v>0</v>
      </c>
    </row>
    <row r="26" spans="1:10" s="123" customFormat="1" ht="15.75" customHeight="1" x14ac:dyDescent="0.3">
      <c r="A26" s="108" t="str">
        <f>IF(Sammanställning!$AF17&lt;&gt;"",Sammanställning!AA17,"")</f>
        <v/>
      </c>
      <c r="B26" s="125" t="str">
        <f>IF(Sammanställning!$AF17&lt;&gt;"",Sammanställning!AB17,"")</f>
        <v/>
      </c>
      <c r="C26" s="126" t="str">
        <f>IF(Sammanställning!$AF17&lt;&gt;"",Sammanställning!AC17,"")</f>
        <v/>
      </c>
      <c r="D26" s="127" t="str">
        <f>IF(Sammanställning!$AF17&lt;&gt;"",Sammanställning!AD17,"")</f>
        <v/>
      </c>
      <c r="E26" s="128" t="str">
        <f>IF(Sammanställning!$AF17&lt;&gt;"",Sammanställning!AE17,"")</f>
        <v/>
      </c>
      <c r="F26" s="129" t="str">
        <f>IF(Sammanställning!$AF17&lt;&gt;"",Sammanställning!AG17,"")</f>
        <v/>
      </c>
      <c r="G26" s="130" t="str">
        <f>IF(Sammanställning!$AF17&lt;&gt;"",Sammanställning!AH17,"")</f>
        <v/>
      </c>
      <c r="H26" s="131" t="str">
        <f>IF(Sammanställning!$AF17&lt;&gt;"",Sammanställning!AI17,"")</f>
        <v/>
      </c>
      <c r="I26" s="105" cm="1">
        <f t="array" ref="I26">IFERROR(_xlfn.IFS(H26="/påbörjad h",G26*J26,H26="/tillfälle",G26,H26="/pers/påbörjad h",G26*E26*J26,H26="/pers",G26*E26,H26="/instruktör",G26*E26,H26="/instruktör/påbörjad h",G26*E26*J26,H26="/st",G26*E26,H26="/bord",G26*E26,H26="",0),0)</f>
        <v>0</v>
      </c>
      <c r="J26" s="108">
        <f t="shared" si="0"/>
        <v>0</v>
      </c>
    </row>
    <row r="27" spans="1:10" s="123" customFormat="1" ht="15.75" customHeight="1" x14ac:dyDescent="0.3">
      <c r="A27" s="108" t="str">
        <f>IF(Sammanställning!$AF18&lt;&gt;"",Sammanställning!AA18,"")</f>
        <v/>
      </c>
      <c r="B27" s="125" t="str">
        <f>IF(Sammanställning!$AF18&lt;&gt;"",Sammanställning!AB18,"")</f>
        <v/>
      </c>
      <c r="C27" s="126" t="str">
        <f>IF(Sammanställning!$AF18&lt;&gt;"",Sammanställning!AC18,"")</f>
        <v/>
      </c>
      <c r="D27" s="127" t="str">
        <f>IF(Sammanställning!$AF18&lt;&gt;"",Sammanställning!AD18,"")</f>
        <v/>
      </c>
      <c r="E27" s="128" t="str">
        <f>IF(Sammanställning!$AF18&lt;&gt;"",Sammanställning!AE18,"")</f>
        <v/>
      </c>
      <c r="F27" s="129" t="str">
        <f>IF(Sammanställning!$AF18&lt;&gt;"",Sammanställning!AG18,"")</f>
        <v/>
      </c>
      <c r="G27" s="130" t="str">
        <f>IF(Sammanställning!$AF18&lt;&gt;"",Sammanställning!AH18,"")</f>
        <v/>
      </c>
      <c r="H27" s="131" t="str">
        <f>IF(Sammanställning!$AF18&lt;&gt;"",Sammanställning!AI18,"")</f>
        <v/>
      </c>
      <c r="I27" s="105" cm="1">
        <f t="array" ref="I27">IFERROR(_xlfn.IFS(H27="/påbörjad h",G27*J27,H27="/tillfälle",G27,H27="/pers/påbörjad h",G27*E27*J27,H27="/pers",G27*E27,H27="/instruktör",G27*E27,H27="/instruktör/påbörjad h",G27*E27*J27,H27="/st",G27*E27,H27="/bord",G27*E27,H27="",0),0)</f>
        <v>0</v>
      </c>
      <c r="J27" s="108">
        <f t="shared" si="0"/>
        <v>0</v>
      </c>
    </row>
    <row r="28" spans="1:10" s="123" customFormat="1" ht="15.75" customHeight="1" x14ac:dyDescent="0.3">
      <c r="A28" s="108" t="str">
        <f>IF(Sammanställning!$AF19&lt;&gt;"",Sammanställning!AA19,"")</f>
        <v/>
      </c>
      <c r="B28" s="125" t="str">
        <f>IF(Sammanställning!$AF19&lt;&gt;"",Sammanställning!AB19,"")</f>
        <v/>
      </c>
      <c r="C28" s="126" t="str">
        <f>IF(Sammanställning!$AF19&lt;&gt;"",Sammanställning!AC19,"")</f>
        <v/>
      </c>
      <c r="D28" s="127" t="str">
        <f>IF(Sammanställning!$AF19&lt;&gt;"",Sammanställning!AD19,"")</f>
        <v/>
      </c>
      <c r="E28" s="128" t="str">
        <f>IF(Sammanställning!$AF19&lt;&gt;"",Sammanställning!AE19,"")</f>
        <v/>
      </c>
      <c r="F28" s="129" t="str">
        <f>IF(Sammanställning!$AF19&lt;&gt;"",Sammanställning!AG19,"")</f>
        <v/>
      </c>
      <c r="G28" s="130" t="str">
        <f>IF(Sammanställning!$AF19&lt;&gt;"",Sammanställning!AH19,"")</f>
        <v/>
      </c>
      <c r="H28" s="131" t="str">
        <f>IF(Sammanställning!$AF19&lt;&gt;"",Sammanställning!AI19,"")</f>
        <v/>
      </c>
      <c r="I28" s="105" cm="1">
        <f t="array" ref="I28">IFERROR(_xlfn.IFS(H28="/påbörjad h",G28*J28,H28="/tillfälle",G28,H28="/pers/påbörjad h",G28*E28*J28,H28="/pers",G28*E28,H28="/instruktör",G28*E28,H28="/instruktör/påbörjad h",G28*E28*J28,H28="/st",G28*E28,H28="/bord",G28*E28,H28="",0),0)</f>
        <v>0</v>
      </c>
      <c r="J28" s="108">
        <f t="shared" si="0"/>
        <v>0</v>
      </c>
    </row>
    <row r="29" spans="1:10" s="123" customFormat="1" ht="15.75" customHeight="1" x14ac:dyDescent="0.3">
      <c r="A29" s="108" t="str">
        <f>IF(Sammanställning!$AF20&lt;&gt;"",Sammanställning!AA20,"")</f>
        <v/>
      </c>
      <c r="B29" s="125" t="str">
        <f>IF(Sammanställning!$AF20&lt;&gt;"",Sammanställning!AB20,"")</f>
        <v/>
      </c>
      <c r="C29" s="126" t="str">
        <f>IF(Sammanställning!$AF20&lt;&gt;"",Sammanställning!AC20,"")</f>
        <v/>
      </c>
      <c r="D29" s="127" t="str">
        <f>IF(Sammanställning!$AF20&lt;&gt;"",Sammanställning!AD20,"")</f>
        <v/>
      </c>
      <c r="E29" s="128" t="str">
        <f>IF(Sammanställning!$AF20&lt;&gt;"",Sammanställning!AE20,"")</f>
        <v/>
      </c>
      <c r="F29" s="129" t="str">
        <f>IF(Sammanställning!$AF20&lt;&gt;"",Sammanställning!AG20,"")</f>
        <v/>
      </c>
      <c r="G29" s="130" t="str">
        <f>IF(Sammanställning!$AF20&lt;&gt;"",Sammanställning!AH20,"")</f>
        <v/>
      </c>
      <c r="H29" s="131" t="str">
        <f>IF(Sammanställning!$AF20&lt;&gt;"",Sammanställning!AI20,"")</f>
        <v/>
      </c>
      <c r="I29" s="105" cm="1">
        <f t="array" ref="I29">IFERROR(_xlfn.IFS(H29="/påbörjad h",G29*J29,H29="/tillfälle",G29,H29="/pers/påbörjad h",G29*E29*J29,H29="/pers",G29*E29,H29="/instruktör",G29*E29,H29="/instruktör/påbörjad h",G29*E29*J29,H29="/st",G29*E29,H29="/bord",G29*E29,H29="",0),0)</f>
        <v>0</v>
      </c>
      <c r="J29" s="108">
        <f t="shared" si="0"/>
        <v>0</v>
      </c>
    </row>
    <row r="30" spans="1:10" s="123" customFormat="1" ht="15.75" customHeight="1" x14ac:dyDescent="0.3">
      <c r="A30" s="108" t="str">
        <f>IF(Sammanställning!$AF21&lt;&gt;"",Sammanställning!AA21,"")</f>
        <v/>
      </c>
      <c r="B30" s="125" t="str">
        <f>IF(Sammanställning!$AF21&lt;&gt;"",Sammanställning!AB21,"")</f>
        <v/>
      </c>
      <c r="C30" s="126" t="str">
        <f>IF(Sammanställning!$AF21&lt;&gt;"",Sammanställning!AC21,"")</f>
        <v/>
      </c>
      <c r="D30" s="127" t="str">
        <f>IF(Sammanställning!$AF21&lt;&gt;"",Sammanställning!AD21,"")</f>
        <v/>
      </c>
      <c r="E30" s="128" t="str">
        <f>IF(Sammanställning!$AF21&lt;&gt;"",Sammanställning!AE21,"")</f>
        <v/>
      </c>
      <c r="F30" s="129" t="str">
        <f>IF(Sammanställning!$AF21&lt;&gt;"",Sammanställning!AG21,"")</f>
        <v/>
      </c>
      <c r="G30" s="130" t="str">
        <f>IF(Sammanställning!$AF21&lt;&gt;"",Sammanställning!AH21,"")</f>
        <v/>
      </c>
      <c r="H30" s="131" t="str">
        <f>IF(Sammanställning!$AF21&lt;&gt;"",Sammanställning!AI21,"")</f>
        <v/>
      </c>
      <c r="I30" s="105" cm="1">
        <f t="array" ref="I30">IFERROR(_xlfn.IFS(H30="/påbörjad h",G30*J30,H30="/tillfälle",G30,H30="/pers/påbörjad h",G30*E30*J30,H30="/pers",G30*E30,H30="/instruktör",G30*E30,H30="/instruktör/påbörjad h",G30*E30*J30,H30="/st",G30*E30,H30="/bord",G30*E30,H30="",0),0)</f>
        <v>0</v>
      </c>
      <c r="J30" s="108">
        <f t="shared" si="0"/>
        <v>0</v>
      </c>
    </row>
    <row r="31" spans="1:10" s="123" customFormat="1" ht="15.75" customHeight="1" x14ac:dyDescent="0.3">
      <c r="A31" s="108" t="str">
        <f>IF(Sammanställning!$AF22&lt;&gt;"",Sammanställning!AA22,"")</f>
        <v/>
      </c>
      <c r="B31" s="125" t="str">
        <f>IF(Sammanställning!$AF22&lt;&gt;"",Sammanställning!AB22,"")</f>
        <v/>
      </c>
      <c r="C31" s="126" t="str">
        <f>IF(Sammanställning!$AF22&lt;&gt;"",Sammanställning!AC22,"")</f>
        <v/>
      </c>
      <c r="D31" s="127" t="str">
        <f>IF(Sammanställning!$AF22&lt;&gt;"",Sammanställning!AD22,"")</f>
        <v/>
      </c>
      <c r="E31" s="128" t="str">
        <f>IF(Sammanställning!$AF22&lt;&gt;"",Sammanställning!AE22,"")</f>
        <v/>
      </c>
      <c r="F31" s="129" t="str">
        <f>IF(Sammanställning!$AF22&lt;&gt;"",Sammanställning!AG22,"")</f>
        <v/>
      </c>
      <c r="G31" s="130" t="str">
        <f>IF(Sammanställning!$AF22&lt;&gt;"",Sammanställning!AH22,"")</f>
        <v/>
      </c>
      <c r="H31" s="131" t="str">
        <f>IF(Sammanställning!$AF22&lt;&gt;"",Sammanställning!AI22,"")</f>
        <v/>
      </c>
      <c r="I31" s="105" cm="1">
        <f t="array" ref="I31">IFERROR(_xlfn.IFS(H31="/påbörjad h",G31*J31,H31="/tillfälle",G31,H31="/pers/påbörjad h",G31*E31*J31,H31="/pers",G31*E31,H31="/instruktör",G31*E31,H31="/instruktör/påbörjad h",G31*E31*J31,H31="/st",G31*E31,H31="/bord",G31*E31,H31="",0),0)</f>
        <v>0</v>
      </c>
      <c r="J31" s="108">
        <f t="shared" si="0"/>
        <v>0</v>
      </c>
    </row>
    <row r="32" spans="1:10" s="123" customFormat="1" ht="15.75" customHeight="1" x14ac:dyDescent="0.3">
      <c r="A32" s="108" t="str">
        <f>IF(Sammanställning!$AF23&lt;&gt;"",Sammanställning!AA23,"")</f>
        <v/>
      </c>
      <c r="B32" s="125" t="str">
        <f>IF(Sammanställning!$AF23&lt;&gt;"",Sammanställning!AB23,"")</f>
        <v/>
      </c>
      <c r="C32" s="126" t="str">
        <f>IF(Sammanställning!$AF23&lt;&gt;"",Sammanställning!AC23,"")</f>
        <v/>
      </c>
      <c r="D32" s="127" t="str">
        <f>IF(Sammanställning!$AF23&lt;&gt;"",Sammanställning!AD23,"")</f>
        <v/>
      </c>
      <c r="E32" s="128" t="str">
        <f>IF(Sammanställning!$AF23&lt;&gt;"",Sammanställning!AE23,"")</f>
        <v/>
      </c>
      <c r="F32" s="129" t="str">
        <f>IF(Sammanställning!$AF23&lt;&gt;"",Sammanställning!AG23,"")</f>
        <v/>
      </c>
      <c r="G32" s="130" t="str">
        <f>IF(Sammanställning!$AF23&lt;&gt;"",Sammanställning!AH23,"")</f>
        <v/>
      </c>
      <c r="H32" s="131" t="str">
        <f>IF(Sammanställning!$AF23&lt;&gt;"",Sammanställning!AI23,"")</f>
        <v/>
      </c>
      <c r="I32" s="105" cm="1">
        <f t="array" ref="I32">IFERROR(_xlfn.IFS(H32="/påbörjad h",G32*J32,H32="/tillfälle",G32,H32="/pers/påbörjad h",G32*E32*J32,H32="/pers",G32*E32,H32="/instruktör",G32*E32,H32="/instruktör/påbörjad h",G32*E32*J32,H32="/st",G32*E32,H32="/bord",G32*E32,H32="",0),0)</f>
        <v>0</v>
      </c>
      <c r="J32" s="108">
        <f t="shared" si="0"/>
        <v>0</v>
      </c>
    </row>
    <row r="33" spans="1:12" s="123" customFormat="1" ht="15.75" customHeight="1" x14ac:dyDescent="0.3">
      <c r="A33" s="108" t="str">
        <f>IF(Sammanställning!$AF24&lt;&gt;"",Sammanställning!AA24,"")</f>
        <v/>
      </c>
      <c r="B33" s="125" t="str">
        <f>IF(Sammanställning!$AF24&lt;&gt;"",Sammanställning!AB24,"")</f>
        <v/>
      </c>
      <c r="C33" s="126" t="str">
        <f>IF(Sammanställning!$AF24&lt;&gt;"",Sammanställning!AC24,"")</f>
        <v/>
      </c>
      <c r="D33" s="127" t="str">
        <f>IF(Sammanställning!$AF24&lt;&gt;"",Sammanställning!AD24,"")</f>
        <v/>
      </c>
      <c r="E33" s="128" t="str">
        <f>IF(Sammanställning!$AF24&lt;&gt;"",Sammanställning!AE24,"")</f>
        <v/>
      </c>
      <c r="F33" s="129" t="str">
        <f>IF(Sammanställning!$AF24&lt;&gt;"",Sammanställning!AG24,"")</f>
        <v/>
      </c>
      <c r="G33" s="130" t="str">
        <f>IF(Sammanställning!$AF24&lt;&gt;"",Sammanställning!AH24,"")</f>
        <v/>
      </c>
      <c r="H33" s="131" t="str">
        <f>IF(Sammanställning!$AF24&lt;&gt;"",Sammanställning!AI24,"")</f>
        <v/>
      </c>
      <c r="I33" s="105" cm="1">
        <f t="array" ref="I33">IFERROR(_xlfn.IFS(H33="/påbörjad h",G33*J33,H33="/tillfälle",G33,H33="/pers/påbörjad h",G33*E33*J33,H33="/pers",G33*E33,H33="/instruktör",G33*E33,H33="/instruktör/påbörjad h",G33*E33*J33,H33="/st",G33*E33,H33="/bord",G33*E33,H33="",0),0)</f>
        <v>0</v>
      </c>
      <c r="J33" s="108">
        <f t="shared" si="0"/>
        <v>0</v>
      </c>
    </row>
    <row r="34" spans="1:12" s="123" customFormat="1" ht="15.75" customHeight="1" x14ac:dyDescent="0.3">
      <c r="A34" s="108" t="str">
        <f>IF(Sammanställning!$AF25&lt;&gt;"",Sammanställning!AA25,"")</f>
        <v/>
      </c>
      <c r="B34" s="125" t="str">
        <f>IF(Sammanställning!$AF25&lt;&gt;"",Sammanställning!AB25,"")</f>
        <v/>
      </c>
      <c r="C34" s="126" t="str">
        <f>IF(Sammanställning!$AF25&lt;&gt;"",Sammanställning!AC25,"")</f>
        <v/>
      </c>
      <c r="D34" s="127" t="str">
        <f>IF(Sammanställning!$AF25&lt;&gt;"",Sammanställning!AD25,"")</f>
        <v/>
      </c>
      <c r="E34" s="128" t="str">
        <f>IF(Sammanställning!$AF25&lt;&gt;"",Sammanställning!AE25,"")</f>
        <v/>
      </c>
      <c r="F34" s="129" t="str">
        <f>IF(Sammanställning!$AF25&lt;&gt;"",Sammanställning!AG25,"")</f>
        <v/>
      </c>
      <c r="G34" s="130" t="str">
        <f>IF(Sammanställning!$AF25&lt;&gt;"",Sammanställning!AH25,"")</f>
        <v/>
      </c>
      <c r="H34" s="131" t="str">
        <f>IF(Sammanställning!$AF25&lt;&gt;"",Sammanställning!AI25,"")</f>
        <v/>
      </c>
      <c r="I34" s="105" cm="1">
        <f t="array" ref="I34">IFERROR(_xlfn.IFS(H34="/påbörjad h",G34*J34,H34="/tillfälle",G34,H34="/pers/påbörjad h",G34*E34*J34,H34="/pers",G34*E34,H34="/instruktör",G34*E34,H34="/instruktör/påbörjad h",G34*E34*J34,H34="/st",G34*E34,H34="/bord",G34*E34,H34="",0),0)</f>
        <v>0</v>
      </c>
      <c r="J34" s="108">
        <f t="shared" si="0"/>
        <v>0</v>
      </c>
    </row>
    <row r="35" spans="1:12" ht="15.75" customHeight="1" x14ac:dyDescent="0.3">
      <c r="A35" s="108" t="str">
        <f>IF(Sammanställning!$AF26&lt;&gt;"",Sammanställning!AA26,"")</f>
        <v/>
      </c>
      <c r="B35" s="125" t="str">
        <f>IF(Sammanställning!$AF26&lt;&gt;"",Sammanställning!AB26,"")</f>
        <v/>
      </c>
      <c r="C35" s="126" t="str">
        <f>IF(Sammanställning!$AF26&lt;&gt;"",Sammanställning!AC26,"")</f>
        <v/>
      </c>
      <c r="D35" s="127" t="str">
        <f>IF(Sammanställning!$AF26&lt;&gt;"",Sammanställning!AD26,"")</f>
        <v/>
      </c>
      <c r="E35" s="128" t="str">
        <f>IF(Sammanställning!$AF26&lt;&gt;"",Sammanställning!AE26,"")</f>
        <v/>
      </c>
      <c r="F35" s="129" t="str">
        <f>IF(Sammanställning!$AF26&lt;&gt;"",Sammanställning!AG26,"")</f>
        <v/>
      </c>
      <c r="G35" s="130" t="str">
        <f>IF(Sammanställning!$AF26&lt;&gt;"",Sammanställning!AH26,"")</f>
        <v/>
      </c>
      <c r="H35" s="131" t="str">
        <f>IF(Sammanställning!$AF26&lt;&gt;"",Sammanställning!AI26,"")</f>
        <v/>
      </c>
      <c r="I35" s="105" cm="1">
        <f t="array" ref="I35">IFERROR(_xlfn.IFS(H35="/påbörjad h",G35*J35,H35="/tillfälle",G35,H35="/pers/påbörjad h",G35*E35*J35,H35="/pers",G35*E35,H35="/instruktör",G35*E35,H35="/instruktör/påbörjad h",G35*E35*J35,H35="/st",G35*E35,H35="/bord",G35*E35,H35="",0),0)</f>
        <v>0</v>
      </c>
      <c r="J35" s="108">
        <f t="shared" si="0"/>
        <v>0</v>
      </c>
    </row>
    <row r="36" spans="1:12" ht="15.75" customHeight="1" x14ac:dyDescent="0.3">
      <c r="A36" s="108" t="str">
        <f>IF(Sammanställning!$AF27&lt;&gt;"",Sammanställning!AA27,"")</f>
        <v/>
      </c>
      <c r="B36" s="125" t="str">
        <f>IF(Sammanställning!$AF27&lt;&gt;"",Sammanställning!AB27,"")</f>
        <v/>
      </c>
      <c r="C36" s="126" t="str">
        <f>IF(Sammanställning!$AF27&lt;&gt;"",Sammanställning!AC27,"")</f>
        <v/>
      </c>
      <c r="D36" s="127" t="str">
        <f>IF(Sammanställning!$AF27&lt;&gt;"",Sammanställning!AD27,"")</f>
        <v/>
      </c>
      <c r="E36" s="128" t="str">
        <f>IF(Sammanställning!$AF27&lt;&gt;"",Sammanställning!AE27,"")</f>
        <v/>
      </c>
      <c r="F36" s="129" t="str">
        <f>IF(Sammanställning!$AF27&lt;&gt;"",Sammanställning!AG27,"")</f>
        <v/>
      </c>
      <c r="G36" s="130" t="str">
        <f>IF(Sammanställning!$AF27&lt;&gt;"",Sammanställning!AH27,"")</f>
        <v/>
      </c>
      <c r="H36" s="131" t="str">
        <f>IF(Sammanställning!$AF27&lt;&gt;"",Sammanställning!AI27,"")</f>
        <v/>
      </c>
      <c r="I36" s="105" cm="1">
        <f t="array" ref="I36">IFERROR(_xlfn.IFS(H36="/påbörjad h",G36*J36,H36="/tillfälle",G36,H36="/pers/påbörjad h",G36*E36*J36,H36="/pers",G36*E36,H36="/instruktör",G36*E36,H36="/instruktör/påbörjad h",G36*E36*J36,H36="/st",G36*E36,H36="/bord",G36*E36,H36="",0),0)</f>
        <v>0</v>
      </c>
      <c r="J36" s="108">
        <f t="shared" si="0"/>
        <v>0</v>
      </c>
    </row>
    <row r="37" spans="1:12" ht="15.75" customHeight="1" x14ac:dyDescent="0.3">
      <c r="A37" s="108" t="str">
        <f>IF(Sammanställning!$AF28&lt;&gt;"",Sammanställning!AA28,"")</f>
        <v/>
      </c>
      <c r="B37" s="125" t="str">
        <f>IF(Sammanställning!$AF28&lt;&gt;"",Sammanställning!AB28,"")</f>
        <v/>
      </c>
      <c r="C37" s="126" t="str">
        <f>IF(Sammanställning!$AF28&lt;&gt;"",Sammanställning!AC28,"")</f>
        <v/>
      </c>
      <c r="D37" s="127" t="str">
        <f>IF(Sammanställning!$AF28&lt;&gt;"",Sammanställning!AD28,"")</f>
        <v/>
      </c>
      <c r="E37" s="128" t="str">
        <f>IF(Sammanställning!$AF28&lt;&gt;"",Sammanställning!AE28,"")</f>
        <v/>
      </c>
      <c r="F37" s="129" t="str">
        <f>IF(Sammanställning!$AF28&lt;&gt;"",Sammanställning!AG28,"")</f>
        <v/>
      </c>
      <c r="G37" s="130" t="str">
        <f>IF(Sammanställning!$AF28&lt;&gt;"",Sammanställning!AH28,"")</f>
        <v/>
      </c>
      <c r="H37" s="131" t="str">
        <f>IF(Sammanställning!$AF28&lt;&gt;"",Sammanställning!AI28,"")</f>
        <v/>
      </c>
      <c r="I37" s="105" cm="1">
        <f t="array" ref="I37">IFERROR(_xlfn.IFS(H37="/påbörjad h",G37*J37,H37="/tillfälle",G37,H37="/pers/påbörjad h",G37*E37*J37,H37="/pers",G37*E37,H37="/instruktör",G37*E37,H37="/instruktör/påbörjad h",G37*E37*J37,H37="/st",G37*E37,H37="/bord",G37*E37,H37="",0),0)</f>
        <v>0</v>
      </c>
      <c r="J37" s="108">
        <f t="shared" si="0"/>
        <v>0</v>
      </c>
    </row>
    <row r="38" spans="1:12" ht="15.75" customHeight="1" x14ac:dyDescent="0.3">
      <c r="A38" s="108" t="str">
        <f>IF(Sammanställning!$AF29&lt;&gt;"",Sammanställning!AA29,"")</f>
        <v/>
      </c>
      <c r="B38" s="125" t="str">
        <f>IF(Sammanställning!$AF29&lt;&gt;"",Sammanställning!AB29,"")</f>
        <v/>
      </c>
      <c r="C38" s="126" t="str">
        <f>IF(Sammanställning!$AF29&lt;&gt;"",Sammanställning!AC29,"")</f>
        <v/>
      </c>
      <c r="D38" s="127" t="str">
        <f>IF(Sammanställning!$AF29&lt;&gt;"",Sammanställning!AD29,"")</f>
        <v/>
      </c>
      <c r="E38" s="128" t="str">
        <f>IF(Sammanställning!$AF29&lt;&gt;"",Sammanställning!AE29,"")</f>
        <v/>
      </c>
      <c r="F38" s="129" t="str">
        <f>IF(Sammanställning!$AF29&lt;&gt;"",Sammanställning!AG29,"")</f>
        <v/>
      </c>
      <c r="G38" s="130" t="str">
        <f>IF(Sammanställning!$AF29&lt;&gt;"",Sammanställning!AH29,"")</f>
        <v/>
      </c>
      <c r="H38" s="131" t="str">
        <f>IF(Sammanställning!$AF29&lt;&gt;"",Sammanställning!AI29,"")</f>
        <v/>
      </c>
      <c r="I38" s="105" cm="1">
        <f t="array" ref="I38">IFERROR(_xlfn.IFS(H38="/påbörjad h",G38*J38,H38="/tillfälle",G38,H38="/pers/påbörjad h",G38*E38*J38,H38="/pers",G38*E38,H38="/instruktör",G38*E38,H38="/instruktör/påbörjad h",G38*E38*J38,H38="/st",G38*E38,H38="/bord",G38*E38,H38="",0),0)</f>
        <v>0</v>
      </c>
      <c r="J38" s="108">
        <f t="shared" si="0"/>
        <v>0</v>
      </c>
    </row>
    <row r="39" spans="1:12" ht="15.75" customHeight="1" x14ac:dyDescent="0.3">
      <c r="A39" s="108" t="str">
        <f>IF(Sammanställning!$AF30&lt;&gt;"",Sammanställning!AA30,"")</f>
        <v/>
      </c>
      <c r="B39" s="125" t="str">
        <f>IF(Sammanställning!$AF30&lt;&gt;"",Sammanställning!AB30,"")</f>
        <v/>
      </c>
      <c r="C39" s="126" t="str">
        <f>IF(Sammanställning!$AF30&lt;&gt;"",Sammanställning!AC30,"")</f>
        <v/>
      </c>
      <c r="D39" s="127" t="str">
        <f>IF(Sammanställning!$AF30&lt;&gt;"",Sammanställning!AD30,"")</f>
        <v/>
      </c>
      <c r="E39" s="128" t="str">
        <f>IF(Sammanställning!$AF30&lt;&gt;"",Sammanställning!AE30,"")</f>
        <v/>
      </c>
      <c r="F39" s="129" t="str">
        <f>IF(Sammanställning!$AF30&lt;&gt;"",Sammanställning!AG30,"")</f>
        <v/>
      </c>
      <c r="G39" s="130" t="str">
        <f>IF(Sammanställning!$AF30&lt;&gt;"",Sammanställning!AH30,"")</f>
        <v/>
      </c>
      <c r="H39" s="131" t="str">
        <f>IF(Sammanställning!$AF30&lt;&gt;"",Sammanställning!AI30,"")</f>
        <v/>
      </c>
      <c r="I39" s="105" cm="1">
        <f t="array" ref="I39">IFERROR(_xlfn.IFS(H39="/påbörjad h",G39*J39,H39="/tillfälle",G39,H39="/pers/påbörjad h",G39*E39*J39,H39="/pers",G39*E39,H39="/instruktör",G39*E39,H39="/instruktör/påbörjad h",G39*E39*J39,H39="/st",G39*E39,H39="/bord",G39*E39,H39="",0),0)</f>
        <v>0</v>
      </c>
      <c r="J39" s="108">
        <f t="shared" si="0"/>
        <v>0</v>
      </c>
    </row>
    <row r="40" spans="1:12" ht="15.75" customHeight="1" x14ac:dyDescent="0.3">
      <c r="A40" s="108" t="str">
        <f>IF(Sammanställning!$AF31&lt;&gt;"",Sammanställning!AA31,"")</f>
        <v/>
      </c>
      <c r="B40" s="125" t="str">
        <f>IF(Sammanställning!$AF31&lt;&gt;"",Sammanställning!AB31,"")</f>
        <v/>
      </c>
      <c r="C40" s="126" t="str">
        <f>IF(Sammanställning!$AF31&lt;&gt;"",Sammanställning!AC31,"")</f>
        <v/>
      </c>
      <c r="D40" s="127" t="str">
        <f>IF(Sammanställning!$AF31&lt;&gt;"",Sammanställning!AD31,"")</f>
        <v/>
      </c>
      <c r="E40" s="128" t="str">
        <f>IF(Sammanställning!$AF31&lt;&gt;"",Sammanställning!AE31,"")</f>
        <v/>
      </c>
      <c r="F40" s="129" t="str">
        <f>IF(Sammanställning!$AF31&lt;&gt;"",Sammanställning!AG31,"")</f>
        <v/>
      </c>
      <c r="G40" s="130" t="str">
        <f>IF(Sammanställning!$AF31&lt;&gt;"",Sammanställning!AH31,"")</f>
        <v/>
      </c>
      <c r="H40" s="131" t="str">
        <f>IF(Sammanställning!$AF31&lt;&gt;"",Sammanställning!AI31,"")</f>
        <v/>
      </c>
      <c r="I40" s="105" cm="1">
        <f t="array" ref="I40">IFERROR(_xlfn.IFS(H40="/påbörjad h",G40*J40,H40="/tillfälle",G40,H40="/pers/påbörjad h",G40*E40*J40,H40="/pers",G40*E40,H40="/instruktör",G40*E40,H40="/instruktör/påbörjad h",G40*E40*J40,H40="/st",G40*E40,H40="/bord",G40*E40,H40="",0),0)</f>
        <v>0</v>
      </c>
      <c r="J40" s="108">
        <f t="shared" si="0"/>
        <v>0</v>
      </c>
    </row>
    <row r="41" spans="1:12" ht="15.75" customHeight="1" x14ac:dyDescent="0.3">
      <c r="A41" s="108" t="str">
        <f>IF(Sammanställning!$AF32&lt;&gt;"",Sammanställning!AA32,"")</f>
        <v/>
      </c>
      <c r="B41" s="125" t="str">
        <f>IF(Sammanställning!$AF32&lt;&gt;"",Sammanställning!AB32,"")</f>
        <v/>
      </c>
      <c r="C41" s="126" t="str">
        <f>IF(Sammanställning!$AF32&lt;&gt;"",Sammanställning!AC32,"")</f>
        <v/>
      </c>
      <c r="D41" s="127" t="str">
        <f>IF(Sammanställning!$AF32&lt;&gt;"",Sammanställning!AD32,"")</f>
        <v/>
      </c>
      <c r="E41" s="128" t="str">
        <f>IF(Sammanställning!$AF32&lt;&gt;"",Sammanställning!AE32,"")</f>
        <v/>
      </c>
      <c r="F41" s="129" t="str">
        <f>IF(Sammanställning!$AF32&lt;&gt;"",Sammanställning!AG32,"")</f>
        <v/>
      </c>
      <c r="G41" s="130" t="str">
        <f>IF(Sammanställning!$AF32&lt;&gt;"",Sammanställning!AH32,"")</f>
        <v/>
      </c>
      <c r="H41" s="131" t="str">
        <f>IF(Sammanställning!$AF32&lt;&gt;"",Sammanställning!AI32,"")</f>
        <v/>
      </c>
      <c r="I41" s="105" cm="1">
        <f t="array" ref="I41">IFERROR(_xlfn.IFS(H41="/påbörjad h",G41*J41,H41="/tillfälle",G41,H41="/pers/påbörjad h",G41*E41*J41,H41="/pers",G41*E41,H41="/instruktör",G41*E41,H41="/instruktör/påbörjad h",G41*E41*J41,H41="/st",G41*E41,H41="/bord",G41*E41,H41="",0),0)</f>
        <v>0</v>
      </c>
      <c r="J41" s="108">
        <f t="shared" si="0"/>
        <v>0</v>
      </c>
    </row>
    <row r="42" spans="1:12" ht="15.75" customHeight="1" x14ac:dyDescent="0.3">
      <c r="A42" s="132" t="str">
        <f>IF(Sammanställning!$AF33&lt;&gt;"",Sammanställning!AA33,"")</f>
        <v/>
      </c>
      <c r="B42" s="133" t="str">
        <f>IF(Sammanställning!$AF33&lt;&gt;"",Sammanställning!AB33,"")</f>
        <v/>
      </c>
      <c r="C42" s="134" t="str">
        <f>IF(Sammanställning!$AF33&lt;&gt;"",Sammanställning!AC33,"")</f>
        <v/>
      </c>
      <c r="D42" s="135" t="str">
        <f>IF(Sammanställning!$AF33&lt;&gt;"",Sammanställning!AD33,"")</f>
        <v/>
      </c>
      <c r="E42" s="136" t="str">
        <f>IF(Sammanställning!$AF33&lt;&gt;"",Sammanställning!AE33,"")</f>
        <v/>
      </c>
      <c r="F42" s="137" t="str">
        <f>IF(Sammanställning!$AF33&lt;&gt;"",Sammanställning!AG33,"")</f>
        <v/>
      </c>
      <c r="G42" s="138" t="str">
        <f>IF(Sammanställning!$AF33&lt;&gt;"",Sammanställning!AH33,"")</f>
        <v/>
      </c>
      <c r="H42" s="139" t="str">
        <f>IF(Sammanställning!$AF33&lt;&gt;"",Sammanställning!AI33,"")</f>
        <v/>
      </c>
      <c r="I42" s="106" cm="1">
        <f t="array" ref="I42">IFERROR(_xlfn.IFS(H42="/påbörjad h",G42*J42,H42="/tillfälle",G42,H42="/pers/påbörjad h",G42*E42*J42,H42="/pers",G42*E42,H42="/instruktör",G42*E42,H42="/instruktör/påbörjad h",G42*E42*J42,H42="/st",G42*E42,H42="/bord",G42*E42,H42="",0),0)</f>
        <v>0</v>
      </c>
      <c r="J42" s="108">
        <f t="shared" si="0"/>
        <v>0</v>
      </c>
    </row>
    <row r="43" spans="1:12" s="111" customFormat="1" ht="16.350000000000001" customHeight="1" x14ac:dyDescent="0.3">
      <c r="A43" s="140"/>
      <c r="B43" s="141"/>
      <c r="C43" s="142"/>
      <c r="D43" s="141"/>
      <c r="E43" s="143"/>
      <c r="F43" s="144"/>
      <c r="G43" s="144"/>
      <c r="H43" s="142" t="s">
        <v>988</v>
      </c>
      <c r="I43" s="145">
        <f>SUBTOTAL(109,Tabell29[Kolumn9])</f>
        <v>0</v>
      </c>
      <c r="J43" s="146"/>
      <c r="K43" s="110"/>
      <c r="L43" s="110"/>
    </row>
  </sheetData>
  <sheetProtection algorithmName="SHA-512" hashValue="ezkGgGlcPKAk9rnKeriKQNukh7aBvhHj+cRYt/iO+AgWhRFbsJAIK8ugHxVrD5KUzo7eg2zmIfQ6/GQnqs8Q4A==" saltValue="VbqGHGzDrhOpsEB2wW9tCA==" spinCount="100000" sheet="1" objects="1" scenarios="1" autoFilter="0" pivotTables="0"/>
  <mergeCells count="7">
    <mergeCell ref="C7:I7"/>
    <mergeCell ref="C8:I8"/>
    <mergeCell ref="C2:G2"/>
    <mergeCell ref="C3:I3"/>
    <mergeCell ref="C4:I4"/>
    <mergeCell ref="C5:I5"/>
    <mergeCell ref="C6:I6"/>
  </mergeCells>
  <printOptions horizontalCentered="1"/>
  <pageMargins left="0.31496062992125984" right="0.31496062992125984" top="1.3385826771653544" bottom="0.51181102362204722" header="0.51181102362204722" footer="0.31496062992125984"/>
  <pageSetup paperSize="9" fitToWidth="0" fitToHeight="0" orientation="portrait" r:id="rId1"/>
  <headerFooter differentFirst="1">
    <oddHeader>&amp;R&amp;G</oddHeader>
    <oddFooter>&amp;C&amp;P / &amp;N</oddFooter>
    <firstHeader>&amp;L&amp;"+,Fet"&amp;22Västerås Friidrottsklubb,&amp;20
Westinghouse arena&amp;R&amp;G</firstHeader>
    <firstFooter>&amp;C&amp;P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Button 1">
              <controlPr defaultSize="0" print="0" autoFill="0" autoPict="0" macro="[0]!KopieraFakturamallOchDöp">
                <anchor moveWithCells="1" sizeWithCells="1">
                  <from>
                    <xdr:col>7</xdr:col>
                    <xdr:colOff>198120</xdr:colOff>
                    <xdr:row>0</xdr:row>
                    <xdr:rowOff>60960</xdr:rowOff>
                  </from>
                  <to>
                    <xdr:col>8</xdr:col>
                    <xdr:colOff>312420</xdr:colOff>
                    <xdr:row>2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22ADC0-3DDE-4403-BE17-019C61491610}">
          <x14:formula1>
            <xm:f>Kontaktuppgifter!$A$2:$A$300</xm:f>
          </x14:formula1>
          <xm:sqref>C2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5f00d1-93fc-4bf6-8837-7d60cd7d5f82" xsi:nil="true"/>
    <lcf76f155ced4ddcb4097134ff3c332f xmlns="ae5fd8c4-2e5a-4228-83c8-bb757ca6174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ECEF7E24609447BD4584004D04D4B0" ma:contentTypeVersion="18" ma:contentTypeDescription="Skapa ett nytt dokument." ma:contentTypeScope="" ma:versionID="e3f5170a9f03a2c1537abd740d358c46">
  <xsd:schema xmlns:xsd="http://www.w3.org/2001/XMLSchema" xmlns:xs="http://www.w3.org/2001/XMLSchema" xmlns:p="http://schemas.microsoft.com/office/2006/metadata/properties" xmlns:ns2="ae5fd8c4-2e5a-4228-83c8-bb757ca61746" xmlns:ns3="ff5f00d1-93fc-4bf6-8837-7d60cd7d5f82" targetNamespace="http://schemas.microsoft.com/office/2006/metadata/properties" ma:root="true" ma:fieldsID="039bba7e7481ecbec897a4e8adc3e55c" ns2:_="" ns3:_="">
    <xsd:import namespace="ae5fd8c4-2e5a-4228-83c8-bb757ca61746"/>
    <xsd:import namespace="ff5f00d1-93fc-4bf6-8837-7d60cd7d5f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fd8c4-2e5a-4228-83c8-bb757ca61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e3640b98-80ef-4d81-b58e-744d237735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f00d1-93fc-4bf6-8837-7d60cd7d5f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1c80271-1094-4622-93cb-3c9e98ea4e05}" ma:internalName="TaxCatchAll" ma:showField="CatchAllData" ma:web="ff5f00d1-93fc-4bf6-8837-7d60cd7d5f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80F5E-E9DB-4360-8A3C-174007ED4730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ff5f00d1-93fc-4bf6-8837-7d60cd7d5f82"/>
    <ds:schemaRef ds:uri="ae5fd8c4-2e5a-4228-83c8-bb757ca61746"/>
  </ds:schemaRefs>
</ds:datastoreItem>
</file>

<file path=customXml/itemProps2.xml><?xml version="1.0" encoding="utf-8"?>
<ds:datastoreItem xmlns:ds="http://schemas.openxmlformats.org/officeDocument/2006/customXml" ds:itemID="{07223DC9-3237-4A2D-BDFF-CB90DD7C3A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71605D-AFF4-4466-B8AD-090B73DFF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fd8c4-2e5a-4228-83c8-bb757ca61746"/>
    <ds:schemaRef ds:uri="ff5f00d1-93fc-4bf6-8837-7d60cd7d5f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60</vt:i4>
      </vt:variant>
      <vt:variant>
        <vt:lpstr>Namngivna områden</vt:lpstr>
      </vt:variant>
      <vt:variant>
        <vt:i4>377</vt:i4>
      </vt:variant>
    </vt:vector>
  </HeadingPairs>
  <TitlesOfParts>
    <vt:vector size="437" baseType="lpstr">
      <vt:lpstr>V. 1, 30 dec-5 jan</vt:lpstr>
      <vt:lpstr>V. 2, 6 jan-12 jan</vt:lpstr>
      <vt:lpstr>V. 3, 13 jan-19 jan</vt:lpstr>
      <vt:lpstr>V. 4, 20 jan-26 jan</vt:lpstr>
      <vt:lpstr>V. 5, 27 jan-2 feb</vt:lpstr>
      <vt:lpstr>V. 6, 3 feb-9 feb</vt:lpstr>
      <vt:lpstr>V. 7, 10 feb-16 feb</vt:lpstr>
      <vt:lpstr>V. 8, 17 feb-23 feb</vt:lpstr>
      <vt:lpstr>V. 9, 24 feb-2 mar</vt:lpstr>
      <vt:lpstr>V. 10, 3 mar-9 mar</vt:lpstr>
      <vt:lpstr>V. 11, 10 mar-16 mar</vt:lpstr>
      <vt:lpstr>V. 12, 17 mar-23 mar</vt:lpstr>
      <vt:lpstr>V. 13, 24 mar-30 mar</vt:lpstr>
      <vt:lpstr>V. 14, 31 mar-6 apr</vt:lpstr>
      <vt:lpstr>V. 15, 7 apr-13 apr</vt:lpstr>
      <vt:lpstr>V. 16, 14 apr-20 apr</vt:lpstr>
      <vt:lpstr>V. 17, 21 apr-27 apr</vt:lpstr>
      <vt:lpstr>V. 18, 28 apr-4 maj</vt:lpstr>
      <vt:lpstr>V. 19, 5 maj-11 maj</vt:lpstr>
      <vt:lpstr>V. 20, 12 maj-18 maj</vt:lpstr>
      <vt:lpstr>V. 21, 19 maj-25 maj</vt:lpstr>
      <vt:lpstr>V. 22, 26 maj-1 jun</vt:lpstr>
      <vt:lpstr>V. 23, 2 jun-8 jun</vt:lpstr>
      <vt:lpstr>V. 24, 9 jun-15 jun</vt:lpstr>
      <vt:lpstr>V. 25, 16 jun-22 jun</vt:lpstr>
      <vt:lpstr>V. 26, 23 jun-29 jun</vt:lpstr>
      <vt:lpstr>V. 27, 30 jun-6 jul</vt:lpstr>
      <vt:lpstr>V. 28, 7 jul-13 jul</vt:lpstr>
      <vt:lpstr>V. 29, 14 jul-20 jul</vt:lpstr>
      <vt:lpstr>V. 30, 21 jul-27 jul</vt:lpstr>
      <vt:lpstr>V. 31, 28 jul-3 aug</vt:lpstr>
      <vt:lpstr>V. 32, 4 aug-10 aug</vt:lpstr>
      <vt:lpstr>V. 33, 11 aug-17 aug</vt:lpstr>
      <vt:lpstr>V. 34, 18 aug-24 aug</vt:lpstr>
      <vt:lpstr>V. 35, 25 aug-31 aug</vt:lpstr>
      <vt:lpstr>V. 36, 1 sep-7 sep</vt:lpstr>
      <vt:lpstr>V. 37, 8 sep-14 sep</vt:lpstr>
      <vt:lpstr>V. 38, 15 sep-21 sep</vt:lpstr>
      <vt:lpstr>V. 39, 22 sep-28 sep</vt:lpstr>
      <vt:lpstr>V. 40, 29 sep-5 okt</vt:lpstr>
      <vt:lpstr>V. 41, 6 okt-12 okt</vt:lpstr>
      <vt:lpstr>V. 42, 13 okt-19 okt</vt:lpstr>
      <vt:lpstr>V. 43, 20 okt-26 okt</vt:lpstr>
      <vt:lpstr>V. 44, 27 okt-2 nov</vt:lpstr>
      <vt:lpstr>V. 45, 3 nov-9 nov</vt:lpstr>
      <vt:lpstr>V. 46, 10 nov-16 nov</vt:lpstr>
      <vt:lpstr>V. 47, 17 nov-23 nov</vt:lpstr>
      <vt:lpstr>V. 48, 24 nov-30 nov</vt:lpstr>
      <vt:lpstr>V. 49, 1 dec-7 dec</vt:lpstr>
      <vt:lpstr>V. 50, 8 dec-14 dec</vt:lpstr>
      <vt:lpstr>V. 51, 15 dec-21 dec</vt:lpstr>
      <vt:lpstr>V. 52, 22 dec-28 dec</vt:lpstr>
      <vt:lpstr>V. 1, 29 dec-4 jan</vt:lpstr>
      <vt:lpstr>Kontaktuppgifter</vt:lpstr>
      <vt:lpstr>Kalenderår</vt:lpstr>
      <vt:lpstr>Listor</vt:lpstr>
      <vt:lpstr>Sammanställning</vt:lpstr>
      <vt:lpstr>Bokningsbekräftelse VT</vt:lpstr>
      <vt:lpstr>Bokningsbekräftelse HT</vt:lpstr>
      <vt:lpstr>Fakturamall</vt:lpstr>
      <vt:lpstr>Fredag1</vt:lpstr>
      <vt:lpstr>Fredag10</vt:lpstr>
      <vt:lpstr>Fredag11</vt:lpstr>
      <vt:lpstr>Fredag12</vt:lpstr>
      <vt:lpstr>Fredag13</vt:lpstr>
      <vt:lpstr>Fredag14</vt:lpstr>
      <vt:lpstr>Fredag15</vt:lpstr>
      <vt:lpstr>Fredag16</vt:lpstr>
      <vt:lpstr>Fredag17</vt:lpstr>
      <vt:lpstr>Fredag18</vt:lpstr>
      <vt:lpstr>Fredag19</vt:lpstr>
      <vt:lpstr>Fredag2</vt:lpstr>
      <vt:lpstr>Fredag20</vt:lpstr>
      <vt:lpstr>Fredag21</vt:lpstr>
      <vt:lpstr>Fredag22</vt:lpstr>
      <vt:lpstr>Fredag23</vt:lpstr>
      <vt:lpstr>Fredag24</vt:lpstr>
      <vt:lpstr>Fredag25</vt:lpstr>
      <vt:lpstr>Fredag26</vt:lpstr>
      <vt:lpstr>Fredag27</vt:lpstr>
      <vt:lpstr>Fredag28</vt:lpstr>
      <vt:lpstr>Fredag29</vt:lpstr>
      <vt:lpstr>Fredag3</vt:lpstr>
      <vt:lpstr>Fredag30</vt:lpstr>
      <vt:lpstr>Fredag31</vt:lpstr>
      <vt:lpstr>Fredag32</vt:lpstr>
      <vt:lpstr>Fredag33</vt:lpstr>
      <vt:lpstr>Fredag34</vt:lpstr>
      <vt:lpstr>Fredag35</vt:lpstr>
      <vt:lpstr>Fredag36</vt:lpstr>
      <vt:lpstr>Fredag37</vt:lpstr>
      <vt:lpstr>Fredag38</vt:lpstr>
      <vt:lpstr>Fredag39</vt:lpstr>
      <vt:lpstr>Fredag4</vt:lpstr>
      <vt:lpstr>Fredag40</vt:lpstr>
      <vt:lpstr>Fredag41</vt:lpstr>
      <vt:lpstr>Fredag42</vt:lpstr>
      <vt:lpstr>Fredag43</vt:lpstr>
      <vt:lpstr>Fredag44</vt:lpstr>
      <vt:lpstr>Fredag45</vt:lpstr>
      <vt:lpstr>Fredag46</vt:lpstr>
      <vt:lpstr>Fredag47</vt:lpstr>
      <vt:lpstr>Fredag48</vt:lpstr>
      <vt:lpstr>Fredag49</vt:lpstr>
      <vt:lpstr>Fredag5</vt:lpstr>
      <vt:lpstr>Fredag50</vt:lpstr>
      <vt:lpstr>Fredag51</vt:lpstr>
      <vt:lpstr>Fredag52</vt:lpstr>
      <vt:lpstr>Fredag53</vt:lpstr>
      <vt:lpstr>Fredag6</vt:lpstr>
      <vt:lpstr>Fredag7</vt:lpstr>
      <vt:lpstr>Fredag8</vt:lpstr>
      <vt:lpstr>Fredag9</vt:lpstr>
      <vt:lpstr>Lördag1</vt:lpstr>
      <vt:lpstr>Lördag10</vt:lpstr>
      <vt:lpstr>Lördag11</vt:lpstr>
      <vt:lpstr>Lördag12</vt:lpstr>
      <vt:lpstr>Lördag13</vt:lpstr>
      <vt:lpstr>Lördag14</vt:lpstr>
      <vt:lpstr>Lördag15</vt:lpstr>
      <vt:lpstr>Lördag16</vt:lpstr>
      <vt:lpstr>Lördag17</vt:lpstr>
      <vt:lpstr>Lördag18</vt:lpstr>
      <vt:lpstr>Lördag19</vt:lpstr>
      <vt:lpstr>Lördag2</vt:lpstr>
      <vt:lpstr>Lördag20</vt:lpstr>
      <vt:lpstr>Lördag21</vt:lpstr>
      <vt:lpstr>Lördag22</vt:lpstr>
      <vt:lpstr>Lördag23</vt:lpstr>
      <vt:lpstr>Lördag24</vt:lpstr>
      <vt:lpstr>Lördag25</vt:lpstr>
      <vt:lpstr>Lördag26</vt:lpstr>
      <vt:lpstr>Lördag27</vt:lpstr>
      <vt:lpstr>Lördag28</vt:lpstr>
      <vt:lpstr>Lördag29</vt:lpstr>
      <vt:lpstr>Lördag3</vt:lpstr>
      <vt:lpstr>Lördag30</vt:lpstr>
      <vt:lpstr>Lördag31</vt:lpstr>
      <vt:lpstr>Lördag32</vt:lpstr>
      <vt:lpstr>Lördag33</vt:lpstr>
      <vt:lpstr>Lördag34</vt:lpstr>
      <vt:lpstr>Lördag35</vt:lpstr>
      <vt:lpstr>Lördag36</vt:lpstr>
      <vt:lpstr>Lördag37</vt:lpstr>
      <vt:lpstr>Lördag38</vt:lpstr>
      <vt:lpstr>Lördag39</vt:lpstr>
      <vt:lpstr>Lördag4</vt:lpstr>
      <vt:lpstr>Lördag40</vt:lpstr>
      <vt:lpstr>Lördag41</vt:lpstr>
      <vt:lpstr>Lördag42</vt:lpstr>
      <vt:lpstr>Lördag43</vt:lpstr>
      <vt:lpstr>Lördag44</vt:lpstr>
      <vt:lpstr>Lördag45</vt:lpstr>
      <vt:lpstr>Lördag46</vt:lpstr>
      <vt:lpstr>Lördag47</vt:lpstr>
      <vt:lpstr>Lördag48</vt:lpstr>
      <vt:lpstr>Lördag49</vt:lpstr>
      <vt:lpstr>Lördag5</vt:lpstr>
      <vt:lpstr>Lördag50</vt:lpstr>
      <vt:lpstr>Lördag51</vt:lpstr>
      <vt:lpstr>Lördag52</vt:lpstr>
      <vt:lpstr>Lördag53</vt:lpstr>
      <vt:lpstr>Lördag6</vt:lpstr>
      <vt:lpstr>Lördag7</vt:lpstr>
      <vt:lpstr>Lördag8</vt:lpstr>
      <vt:lpstr>Lördag9</vt:lpstr>
      <vt:lpstr>Måndag1</vt:lpstr>
      <vt:lpstr>Måndag10</vt:lpstr>
      <vt:lpstr>Måndag11</vt:lpstr>
      <vt:lpstr>Måndag12</vt:lpstr>
      <vt:lpstr>Måndag13</vt:lpstr>
      <vt:lpstr>Måndag14</vt:lpstr>
      <vt:lpstr>Måndag15</vt:lpstr>
      <vt:lpstr>Måndag16</vt:lpstr>
      <vt:lpstr>Måndag17</vt:lpstr>
      <vt:lpstr>Måndag18</vt:lpstr>
      <vt:lpstr>Måndag19</vt:lpstr>
      <vt:lpstr>Måndag2</vt:lpstr>
      <vt:lpstr>Måndag20</vt:lpstr>
      <vt:lpstr>Måndag21</vt:lpstr>
      <vt:lpstr>Måndag22</vt:lpstr>
      <vt:lpstr>Måndag23</vt:lpstr>
      <vt:lpstr>Måndag24</vt:lpstr>
      <vt:lpstr>Måndag25</vt:lpstr>
      <vt:lpstr>Måndag26</vt:lpstr>
      <vt:lpstr>Måndag27</vt:lpstr>
      <vt:lpstr>Måndag28</vt:lpstr>
      <vt:lpstr>Måndag29</vt:lpstr>
      <vt:lpstr>Måndag3</vt:lpstr>
      <vt:lpstr>Måndag30</vt:lpstr>
      <vt:lpstr>Måndag31</vt:lpstr>
      <vt:lpstr>Måndag32</vt:lpstr>
      <vt:lpstr>Måndag33</vt:lpstr>
      <vt:lpstr>Måndag34</vt:lpstr>
      <vt:lpstr>Måndag35</vt:lpstr>
      <vt:lpstr>Måndag36</vt:lpstr>
      <vt:lpstr>Måndag37</vt:lpstr>
      <vt:lpstr>Måndag38</vt:lpstr>
      <vt:lpstr>Måndag39</vt:lpstr>
      <vt:lpstr>Måndag4</vt:lpstr>
      <vt:lpstr>Måndag40</vt:lpstr>
      <vt:lpstr>Måndag41</vt:lpstr>
      <vt:lpstr>Måndag42</vt:lpstr>
      <vt:lpstr>Måndag43</vt:lpstr>
      <vt:lpstr>Måndag44</vt:lpstr>
      <vt:lpstr>Måndag45</vt:lpstr>
      <vt:lpstr>Måndag46</vt:lpstr>
      <vt:lpstr>Måndag47</vt:lpstr>
      <vt:lpstr>Måndag48</vt:lpstr>
      <vt:lpstr>Måndag49</vt:lpstr>
      <vt:lpstr>Måndag5</vt:lpstr>
      <vt:lpstr>Måndag50</vt:lpstr>
      <vt:lpstr>Måndag51</vt:lpstr>
      <vt:lpstr>Måndag52</vt:lpstr>
      <vt:lpstr>Måndag53</vt:lpstr>
      <vt:lpstr>Måndag6</vt:lpstr>
      <vt:lpstr>Måndag7</vt:lpstr>
      <vt:lpstr>Måndag8</vt:lpstr>
      <vt:lpstr>Måndag9</vt:lpstr>
      <vt:lpstr>Onsdag1</vt:lpstr>
      <vt:lpstr>Onsdag10</vt:lpstr>
      <vt:lpstr>Onsdag11</vt:lpstr>
      <vt:lpstr>Onsdag12</vt:lpstr>
      <vt:lpstr>Onsdag13</vt:lpstr>
      <vt:lpstr>Onsdag14</vt:lpstr>
      <vt:lpstr>Onsdag15</vt:lpstr>
      <vt:lpstr>Onsdag16</vt:lpstr>
      <vt:lpstr>Onsdag17</vt:lpstr>
      <vt:lpstr>Onsdag18</vt:lpstr>
      <vt:lpstr>Onsdag19</vt:lpstr>
      <vt:lpstr>Onsdag2</vt:lpstr>
      <vt:lpstr>Onsdag20</vt:lpstr>
      <vt:lpstr>Onsdag21</vt:lpstr>
      <vt:lpstr>Onsdag22</vt:lpstr>
      <vt:lpstr>Onsdag23</vt:lpstr>
      <vt:lpstr>Onsdag24</vt:lpstr>
      <vt:lpstr>Onsdag25</vt:lpstr>
      <vt:lpstr>Onsdag26</vt:lpstr>
      <vt:lpstr>Onsdag27</vt:lpstr>
      <vt:lpstr>Onsdag28</vt:lpstr>
      <vt:lpstr>Onsdag29</vt:lpstr>
      <vt:lpstr>Onsdag3</vt:lpstr>
      <vt:lpstr>Onsdag30</vt:lpstr>
      <vt:lpstr>Onsdag31</vt:lpstr>
      <vt:lpstr>Onsdag32</vt:lpstr>
      <vt:lpstr>Onsdag33</vt:lpstr>
      <vt:lpstr>Onsdag34</vt:lpstr>
      <vt:lpstr>Onsdag35</vt:lpstr>
      <vt:lpstr>Onsdag36</vt:lpstr>
      <vt:lpstr>Onsdag37</vt:lpstr>
      <vt:lpstr>Onsdag38</vt:lpstr>
      <vt:lpstr>Onsdag39</vt:lpstr>
      <vt:lpstr>Onsdag4</vt:lpstr>
      <vt:lpstr>Onsdag40</vt:lpstr>
      <vt:lpstr>Onsdag41</vt:lpstr>
      <vt:lpstr>Onsdag42</vt:lpstr>
      <vt:lpstr>Onsdag43</vt:lpstr>
      <vt:lpstr>Onsdag44</vt:lpstr>
      <vt:lpstr>Onsdag45</vt:lpstr>
      <vt:lpstr>Onsdag46</vt:lpstr>
      <vt:lpstr>Onsdag47</vt:lpstr>
      <vt:lpstr>Onsdag48</vt:lpstr>
      <vt:lpstr>Onsdag49</vt:lpstr>
      <vt:lpstr>Onsdag5</vt:lpstr>
      <vt:lpstr>Onsdag50</vt:lpstr>
      <vt:lpstr>Onsdag51</vt:lpstr>
      <vt:lpstr>Onsdag52</vt:lpstr>
      <vt:lpstr>Onsdag53</vt:lpstr>
      <vt:lpstr>Onsdag6</vt:lpstr>
      <vt:lpstr>Onsdag7</vt:lpstr>
      <vt:lpstr>Onsdag8</vt:lpstr>
      <vt:lpstr>Onsdag9</vt:lpstr>
      <vt:lpstr>Söndag1</vt:lpstr>
      <vt:lpstr>Söndag10</vt:lpstr>
      <vt:lpstr>Söndag11</vt:lpstr>
      <vt:lpstr>Söndag12</vt:lpstr>
      <vt:lpstr>Söndag13</vt:lpstr>
      <vt:lpstr>Söndag14</vt:lpstr>
      <vt:lpstr>Söndag15</vt:lpstr>
      <vt:lpstr>Söndag16</vt:lpstr>
      <vt:lpstr>Söndag17</vt:lpstr>
      <vt:lpstr>Söndag18</vt:lpstr>
      <vt:lpstr>Söndag19</vt:lpstr>
      <vt:lpstr>Söndag2</vt:lpstr>
      <vt:lpstr>Söndag20</vt:lpstr>
      <vt:lpstr>Söndag21</vt:lpstr>
      <vt:lpstr>Söndag22</vt:lpstr>
      <vt:lpstr>Söndag23</vt:lpstr>
      <vt:lpstr>Söndag24</vt:lpstr>
      <vt:lpstr>Söndag25</vt:lpstr>
      <vt:lpstr>Söndag26</vt:lpstr>
      <vt:lpstr>Söndag27</vt:lpstr>
      <vt:lpstr>Söndag28</vt:lpstr>
      <vt:lpstr>Söndag29</vt:lpstr>
      <vt:lpstr>Söndag3</vt:lpstr>
      <vt:lpstr>Söndag30</vt:lpstr>
      <vt:lpstr>Söndag31</vt:lpstr>
      <vt:lpstr>Söndag32</vt:lpstr>
      <vt:lpstr>Söndag33</vt:lpstr>
      <vt:lpstr>Söndag34</vt:lpstr>
      <vt:lpstr>Söndag35</vt:lpstr>
      <vt:lpstr>Söndag36</vt:lpstr>
      <vt:lpstr>Söndag37</vt:lpstr>
      <vt:lpstr>Söndag38</vt:lpstr>
      <vt:lpstr>Söndag39</vt:lpstr>
      <vt:lpstr>Söndag4</vt:lpstr>
      <vt:lpstr>Söndag40</vt:lpstr>
      <vt:lpstr>Söndag41</vt:lpstr>
      <vt:lpstr>Söndag42</vt:lpstr>
      <vt:lpstr>Söndag43</vt:lpstr>
      <vt:lpstr>Söndag44</vt:lpstr>
      <vt:lpstr>Söndag45</vt:lpstr>
      <vt:lpstr>Söndag46</vt:lpstr>
      <vt:lpstr>Söndag47</vt:lpstr>
      <vt:lpstr>Söndag48</vt:lpstr>
      <vt:lpstr>Söndag49</vt:lpstr>
      <vt:lpstr>Söndag5</vt:lpstr>
      <vt:lpstr>Söndag50</vt:lpstr>
      <vt:lpstr>Söndag51</vt:lpstr>
      <vt:lpstr>Söndag52</vt:lpstr>
      <vt:lpstr>Söndag53</vt:lpstr>
      <vt:lpstr>Söndag6</vt:lpstr>
      <vt:lpstr>Söndag7</vt:lpstr>
      <vt:lpstr>Söndag8</vt:lpstr>
      <vt:lpstr>Söndag9</vt:lpstr>
      <vt:lpstr>Tisdag1</vt:lpstr>
      <vt:lpstr>Tisdag10</vt:lpstr>
      <vt:lpstr>Tisdag11</vt:lpstr>
      <vt:lpstr>Tisdag12</vt:lpstr>
      <vt:lpstr>Tisdag13</vt:lpstr>
      <vt:lpstr>Tisdag14</vt:lpstr>
      <vt:lpstr>Tisdag15</vt:lpstr>
      <vt:lpstr>Tisdag16</vt:lpstr>
      <vt:lpstr>Tisdag17</vt:lpstr>
      <vt:lpstr>Tisdag18</vt:lpstr>
      <vt:lpstr>Tisdag19</vt:lpstr>
      <vt:lpstr>Tisdag2</vt:lpstr>
      <vt:lpstr>Tisdag20</vt:lpstr>
      <vt:lpstr>Tisdag21</vt:lpstr>
      <vt:lpstr>Tisdag22</vt:lpstr>
      <vt:lpstr>Tisdag23</vt:lpstr>
      <vt:lpstr>Tisdag24</vt:lpstr>
      <vt:lpstr>Tisdag25</vt:lpstr>
      <vt:lpstr>Tisdag26</vt:lpstr>
      <vt:lpstr>Tisdag27</vt:lpstr>
      <vt:lpstr>Tisdag28</vt:lpstr>
      <vt:lpstr>Tisdag29</vt:lpstr>
      <vt:lpstr>Tisdag3</vt:lpstr>
      <vt:lpstr>Tisdag30</vt:lpstr>
      <vt:lpstr>Tisdag31</vt:lpstr>
      <vt:lpstr>Tisdag32</vt:lpstr>
      <vt:lpstr>Tisdag33</vt:lpstr>
      <vt:lpstr>Tisdag34</vt:lpstr>
      <vt:lpstr>Tisdag35</vt:lpstr>
      <vt:lpstr>Tisdag36</vt:lpstr>
      <vt:lpstr>Tisdag37</vt:lpstr>
      <vt:lpstr>Tisdag38</vt:lpstr>
      <vt:lpstr>Tisdag39</vt:lpstr>
      <vt:lpstr>Tisdag4</vt:lpstr>
      <vt:lpstr>Tisdag40</vt:lpstr>
      <vt:lpstr>Tisdag41</vt:lpstr>
      <vt:lpstr>Tisdag42</vt:lpstr>
      <vt:lpstr>Tisdag43</vt:lpstr>
      <vt:lpstr>Tisdag44</vt:lpstr>
      <vt:lpstr>Tisdag45</vt:lpstr>
      <vt:lpstr>Tisdag46</vt:lpstr>
      <vt:lpstr>Tisdag47</vt:lpstr>
      <vt:lpstr>Tisdag48</vt:lpstr>
      <vt:lpstr>Tisdag49</vt:lpstr>
      <vt:lpstr>Tisdag5</vt:lpstr>
      <vt:lpstr>Tisdag50</vt:lpstr>
      <vt:lpstr>Tisdag51</vt:lpstr>
      <vt:lpstr>Tisdag52</vt:lpstr>
      <vt:lpstr>Tisdag53</vt:lpstr>
      <vt:lpstr>Tisdag6</vt:lpstr>
      <vt:lpstr>Tisdag7</vt:lpstr>
      <vt:lpstr>Tisdag8</vt:lpstr>
      <vt:lpstr>Tisdag9</vt:lpstr>
      <vt:lpstr>Torsdag1</vt:lpstr>
      <vt:lpstr>Torsdag10</vt:lpstr>
      <vt:lpstr>Torsdag11</vt:lpstr>
      <vt:lpstr>Torsdag12</vt:lpstr>
      <vt:lpstr>Torsdag13</vt:lpstr>
      <vt:lpstr>Torsdag14</vt:lpstr>
      <vt:lpstr>Torsdag15</vt:lpstr>
      <vt:lpstr>Torsdag16</vt:lpstr>
      <vt:lpstr>Torsdag17</vt:lpstr>
      <vt:lpstr>Torsdag18</vt:lpstr>
      <vt:lpstr>Torsdag19</vt:lpstr>
      <vt:lpstr>Torsdag2</vt:lpstr>
      <vt:lpstr>Torsdag20</vt:lpstr>
      <vt:lpstr>Torsdag21</vt:lpstr>
      <vt:lpstr>Torsdag22</vt:lpstr>
      <vt:lpstr>Torsdag23</vt:lpstr>
      <vt:lpstr>Torsdag24</vt:lpstr>
      <vt:lpstr>Torsdag25</vt:lpstr>
      <vt:lpstr>Torsdag26</vt:lpstr>
      <vt:lpstr>Torsdag27</vt:lpstr>
      <vt:lpstr>Torsdag28</vt:lpstr>
      <vt:lpstr>Torsdag29</vt:lpstr>
      <vt:lpstr>Torsdag3</vt:lpstr>
      <vt:lpstr>Torsdag30</vt:lpstr>
      <vt:lpstr>Torsdag31</vt:lpstr>
      <vt:lpstr>Torsdag32</vt:lpstr>
      <vt:lpstr>Torsdag33</vt:lpstr>
      <vt:lpstr>Torsdag34</vt:lpstr>
      <vt:lpstr>Torsdag35</vt:lpstr>
      <vt:lpstr>Torsdag36</vt:lpstr>
      <vt:lpstr>Torsdag37</vt:lpstr>
      <vt:lpstr>Torsdag38</vt:lpstr>
      <vt:lpstr>Torsdag39</vt:lpstr>
      <vt:lpstr>Torsdag4</vt:lpstr>
      <vt:lpstr>Torsdag40</vt:lpstr>
      <vt:lpstr>Torsdag41</vt:lpstr>
      <vt:lpstr>Torsdag42</vt:lpstr>
      <vt:lpstr>Torsdag43</vt:lpstr>
      <vt:lpstr>Torsdag44</vt:lpstr>
      <vt:lpstr>Torsdag45</vt:lpstr>
      <vt:lpstr>Torsdag46</vt:lpstr>
      <vt:lpstr>Torsdag47</vt:lpstr>
      <vt:lpstr>Torsdag48</vt:lpstr>
      <vt:lpstr>Torsdag49</vt:lpstr>
      <vt:lpstr>Torsdag5</vt:lpstr>
      <vt:lpstr>Torsdag50</vt:lpstr>
      <vt:lpstr>Torsdag51</vt:lpstr>
      <vt:lpstr>Torsdag52</vt:lpstr>
      <vt:lpstr>Torsdag53</vt:lpstr>
      <vt:lpstr>Torsdag6</vt:lpstr>
      <vt:lpstr>Torsdag7</vt:lpstr>
      <vt:lpstr>Torsdag8</vt:lpstr>
      <vt:lpstr>Torsdag9</vt:lpstr>
      <vt:lpstr>'V. 36, 1 sep-7 sep'!Utskriftsområde</vt:lpstr>
      <vt:lpstr>'V. 37, 8 sep-14 sep'!Utskriftsområde</vt:lpstr>
      <vt:lpstr>'V. 38, 15 sep-21 sep'!Utskriftsområde</vt:lpstr>
      <vt:lpstr>'Bokningsbekräftelse HT'!Utskriftsrubriker</vt:lpstr>
      <vt:lpstr>'Bokningsbekräftelse VT'!Utskriftsrubriker</vt:lpstr>
      <vt:lpstr>Fakturamall!Utskriftsrubriker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Västerås Friidrottsklubb Kansliet</dc:creator>
  <cp:lastModifiedBy>Västerås Friidrottsklubb Kansliet</cp:lastModifiedBy>
  <cp:lastPrinted>2025-09-08T06:33:49Z</cp:lastPrinted>
  <dcterms:created xsi:type="dcterms:W3CDTF">2025-01-11T10:47:50Z</dcterms:created>
  <dcterms:modified xsi:type="dcterms:W3CDTF">2025-09-09T11:35:40Z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0x010100FBECEF7E24609447BD4584004D04D4B0</vt:lpwstr>
  </property>
  <property fmtid="{D5CDD505-2E9C-101B-9397-08002B2CF9AE}" pid="3" name="MediaServiceImageTags">
    <vt:lpwstr/>
  </property>
</Properties>
</file>