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tables/table268.xml" ContentType="application/vnd.openxmlformats-officedocument.spreadsheetml.table+xml"/>
  <Override PartName="/xl/tables/table269.xml" ContentType="application/vnd.openxmlformats-officedocument.spreadsheetml.table+xml"/>
  <Override PartName="/xl/tables/table270.xml" ContentType="application/vnd.openxmlformats-officedocument.spreadsheetml.table+xml"/>
  <Override PartName="/xl/tables/table271.xml" ContentType="application/vnd.openxmlformats-officedocument.spreadsheetml.table+xml"/>
  <Override PartName="/xl/tables/table272.xml" ContentType="application/vnd.openxmlformats-officedocument.spreadsheetml.table+xml"/>
  <Override PartName="/xl/tables/table273.xml" ContentType="application/vnd.openxmlformats-officedocument.spreadsheetml.table+xml"/>
  <Override PartName="/xl/tables/table274.xml" ContentType="application/vnd.openxmlformats-officedocument.spreadsheetml.table+xml"/>
  <Override PartName="/xl/tables/table275.xml" ContentType="application/vnd.openxmlformats-officedocument.spreadsheetml.table+xml"/>
  <Override PartName="/xl/tables/table276.xml" ContentType="application/vnd.openxmlformats-officedocument.spreadsheetml.table+xml"/>
  <Override PartName="/xl/tables/table277.xml" ContentType="application/vnd.openxmlformats-officedocument.spreadsheetml.table+xml"/>
  <Override PartName="/xl/tables/table278.xml" ContentType="application/vnd.openxmlformats-officedocument.spreadsheetml.table+xml"/>
  <Override PartName="/xl/tables/table279.xml" ContentType="application/vnd.openxmlformats-officedocument.spreadsheetml.table+xml"/>
  <Override PartName="/xl/tables/table280.xml" ContentType="application/vnd.openxmlformats-officedocument.spreadsheetml.table+xml"/>
  <Override PartName="/xl/tables/table281.xml" ContentType="application/vnd.openxmlformats-officedocument.spreadsheetml.table+xml"/>
  <Override PartName="/xl/tables/table282.xml" ContentType="application/vnd.openxmlformats-officedocument.spreadsheetml.table+xml"/>
  <Override PartName="/xl/tables/table283.xml" ContentType="application/vnd.openxmlformats-officedocument.spreadsheetml.table+xml"/>
  <Override PartName="/xl/tables/table284.xml" ContentType="application/vnd.openxmlformats-officedocument.spreadsheetml.table+xml"/>
  <Override PartName="/xl/tables/table285.xml" ContentType="application/vnd.openxmlformats-officedocument.spreadsheetml.table+xml"/>
  <Override PartName="/xl/tables/table286.xml" ContentType="application/vnd.openxmlformats-officedocument.spreadsheetml.table+xml"/>
  <Override PartName="/xl/tables/table287.xml" ContentType="application/vnd.openxmlformats-officedocument.spreadsheetml.table+xml"/>
  <Override PartName="/xl/tables/table288.xml" ContentType="application/vnd.openxmlformats-officedocument.spreadsheetml.table+xml"/>
  <Override PartName="/xl/tables/table289.xml" ContentType="application/vnd.openxmlformats-officedocument.spreadsheetml.table+xml"/>
  <Override PartName="/xl/tables/table290.xml" ContentType="application/vnd.openxmlformats-officedocument.spreadsheetml.table+xml"/>
  <Override PartName="/xl/tables/table291.xml" ContentType="application/vnd.openxmlformats-officedocument.spreadsheetml.table+xml"/>
  <Override PartName="/xl/tables/table292.xml" ContentType="application/vnd.openxmlformats-officedocument.spreadsheetml.table+xml"/>
  <Override PartName="/xl/tables/table293.xml" ContentType="application/vnd.openxmlformats-officedocument.spreadsheetml.table+xml"/>
  <Override PartName="/xl/tables/table294.xml" ContentType="application/vnd.openxmlformats-officedocument.spreadsheetml.table+xml"/>
  <Override PartName="/xl/tables/table295.xml" ContentType="application/vnd.openxmlformats-officedocument.spreadsheetml.table+xml"/>
  <Override PartName="/xl/tables/table296.xml" ContentType="application/vnd.openxmlformats-officedocument.spreadsheetml.table+xml"/>
  <Override PartName="/xl/tables/table297.xml" ContentType="application/vnd.openxmlformats-officedocument.spreadsheetml.table+xml"/>
  <Override PartName="/xl/tables/table298.xml" ContentType="application/vnd.openxmlformats-officedocument.spreadsheetml.table+xml"/>
  <Override PartName="/xl/tables/table299.xml" ContentType="application/vnd.openxmlformats-officedocument.spreadsheetml.table+xml"/>
  <Override PartName="/xl/tables/table300.xml" ContentType="application/vnd.openxmlformats-officedocument.spreadsheetml.table+xml"/>
  <Override PartName="/xl/tables/table301.xml" ContentType="application/vnd.openxmlformats-officedocument.spreadsheetml.table+xml"/>
  <Override PartName="/xl/tables/table302.xml" ContentType="application/vnd.openxmlformats-officedocument.spreadsheetml.table+xml"/>
  <Override PartName="/xl/tables/table303.xml" ContentType="application/vnd.openxmlformats-officedocument.spreadsheetml.table+xml"/>
  <Override PartName="/xl/tables/table304.xml" ContentType="application/vnd.openxmlformats-officedocument.spreadsheetml.table+xml"/>
  <Override PartName="/xl/tables/table305.xml" ContentType="application/vnd.openxmlformats-officedocument.spreadsheetml.table+xml"/>
  <Override PartName="/xl/tables/table306.xml" ContentType="application/vnd.openxmlformats-officedocument.spreadsheetml.table+xml"/>
  <Override PartName="/xl/tables/table307.xml" ContentType="application/vnd.openxmlformats-officedocument.spreadsheetml.table+xml"/>
  <Override PartName="/xl/tables/table308.xml" ContentType="application/vnd.openxmlformats-officedocument.spreadsheetml.table+xml"/>
  <Override PartName="/xl/tables/table309.xml" ContentType="application/vnd.openxmlformats-officedocument.spreadsheetml.table+xml"/>
  <Override PartName="/xl/tables/table310.xml" ContentType="application/vnd.openxmlformats-officedocument.spreadsheetml.table+xml"/>
  <Override PartName="/xl/tables/table311.xml" ContentType="application/vnd.openxmlformats-officedocument.spreadsheetml.table+xml"/>
  <Override PartName="/xl/tables/table312.xml" ContentType="application/vnd.openxmlformats-officedocument.spreadsheetml.table+xml"/>
  <Override PartName="/xl/tables/table313.xml" ContentType="application/vnd.openxmlformats-officedocument.spreadsheetml.table+xml"/>
  <Override PartName="/xl/tables/table314.xml" ContentType="application/vnd.openxmlformats-officedocument.spreadsheetml.table+xml"/>
  <Override PartName="/xl/tables/table315.xml" ContentType="application/vnd.openxmlformats-officedocument.spreadsheetml.table+xml"/>
  <Override PartName="/xl/tables/table316.xml" ContentType="application/vnd.openxmlformats-officedocument.spreadsheetml.table+xml"/>
  <Override PartName="/xl/tables/table317.xml" ContentType="application/vnd.openxmlformats-officedocument.spreadsheetml.table+xml"/>
  <Override PartName="/xl/tables/table318.xml" ContentType="application/vnd.openxmlformats-officedocument.spreadsheetml.table+xml"/>
  <Override PartName="/xl/tables/table319.xml" ContentType="application/vnd.openxmlformats-officedocument.spreadsheetml.table+xml"/>
  <Override PartName="/xl/tables/table320.xml" ContentType="application/vnd.openxmlformats-officedocument.spreadsheetml.table+xml"/>
  <Override PartName="/xl/tables/table321.xml" ContentType="application/vnd.openxmlformats-officedocument.spreadsheetml.table+xml"/>
  <Override PartName="/xl/tables/table322.xml" ContentType="application/vnd.openxmlformats-officedocument.spreadsheetml.table+xml"/>
  <Override PartName="/xl/tables/table323.xml" ContentType="application/vnd.openxmlformats-officedocument.spreadsheetml.table+xml"/>
  <Override PartName="/xl/tables/table324.xml" ContentType="application/vnd.openxmlformats-officedocument.spreadsheetml.table+xml"/>
  <Override PartName="/xl/tables/table325.xml" ContentType="application/vnd.openxmlformats-officedocument.spreadsheetml.table+xml"/>
  <Override PartName="/xl/tables/table326.xml" ContentType="application/vnd.openxmlformats-officedocument.spreadsheetml.table+xml"/>
  <Override PartName="/xl/tables/table327.xml" ContentType="application/vnd.openxmlformats-officedocument.spreadsheetml.table+xml"/>
  <Override PartName="/xl/tables/table328.xml" ContentType="application/vnd.openxmlformats-officedocument.spreadsheetml.table+xml"/>
  <Override PartName="/xl/tables/table329.xml" ContentType="application/vnd.openxmlformats-officedocument.spreadsheetml.table+xml"/>
  <Override PartName="/xl/tables/table330.xml" ContentType="application/vnd.openxmlformats-officedocument.spreadsheetml.table+xml"/>
  <Override PartName="/xl/tables/table331.xml" ContentType="application/vnd.openxmlformats-officedocument.spreadsheetml.table+xml"/>
  <Override PartName="/xl/tables/table332.xml" ContentType="application/vnd.openxmlformats-officedocument.spreadsheetml.table+xml"/>
  <Override PartName="/xl/tables/table333.xml" ContentType="application/vnd.openxmlformats-officedocument.spreadsheetml.table+xml"/>
  <Override PartName="/xl/tables/table334.xml" ContentType="application/vnd.openxmlformats-officedocument.spreadsheetml.table+xml"/>
  <Override PartName="/xl/tables/table335.xml" ContentType="application/vnd.openxmlformats-officedocument.spreadsheetml.table+xml"/>
  <Override PartName="/xl/tables/table336.xml" ContentType="application/vnd.openxmlformats-officedocument.spreadsheetml.table+xml"/>
  <Override PartName="/xl/tables/table337.xml" ContentType="application/vnd.openxmlformats-officedocument.spreadsheetml.table+xml"/>
  <Override PartName="/xl/tables/table338.xml" ContentType="application/vnd.openxmlformats-officedocument.spreadsheetml.table+xml"/>
  <Override PartName="/xl/tables/table339.xml" ContentType="application/vnd.openxmlformats-officedocument.spreadsheetml.table+xml"/>
  <Override PartName="/xl/tables/table340.xml" ContentType="application/vnd.openxmlformats-officedocument.spreadsheetml.table+xml"/>
  <Override PartName="/xl/tables/table341.xml" ContentType="application/vnd.openxmlformats-officedocument.spreadsheetml.table+xml"/>
  <Override PartName="/xl/tables/table342.xml" ContentType="application/vnd.openxmlformats-officedocument.spreadsheetml.table+xml"/>
  <Override PartName="/xl/tables/table343.xml" ContentType="application/vnd.openxmlformats-officedocument.spreadsheetml.table+xml"/>
  <Override PartName="/xl/tables/table344.xml" ContentType="application/vnd.openxmlformats-officedocument.spreadsheetml.table+xml"/>
  <Override PartName="/xl/tables/table345.xml" ContentType="application/vnd.openxmlformats-officedocument.spreadsheetml.table+xml"/>
  <Override PartName="/xl/tables/table346.xml" ContentType="application/vnd.openxmlformats-officedocument.spreadsheetml.table+xml"/>
  <Override PartName="/xl/tables/table347.xml" ContentType="application/vnd.openxmlformats-officedocument.spreadsheetml.table+xml"/>
  <Override PartName="/xl/tables/table348.xml" ContentType="application/vnd.openxmlformats-officedocument.spreadsheetml.table+xml"/>
  <Override PartName="/xl/tables/table349.xml" ContentType="application/vnd.openxmlformats-officedocument.spreadsheetml.table+xml"/>
  <Override PartName="/xl/tables/table350.xml" ContentType="application/vnd.openxmlformats-officedocument.spreadsheetml.table+xml"/>
  <Override PartName="/xl/tables/table351.xml" ContentType="application/vnd.openxmlformats-officedocument.spreadsheetml.table+xml"/>
  <Override PartName="/xl/tables/table352.xml" ContentType="application/vnd.openxmlformats-officedocument.spreadsheetml.table+xml"/>
  <Override PartName="/xl/tables/table353.xml" ContentType="application/vnd.openxmlformats-officedocument.spreadsheetml.table+xml"/>
  <Override PartName="/xl/tables/table354.xml" ContentType="application/vnd.openxmlformats-officedocument.spreadsheetml.table+xml"/>
  <Override PartName="/xl/tables/table355.xml" ContentType="application/vnd.openxmlformats-officedocument.spreadsheetml.table+xml"/>
  <Override PartName="/xl/tables/table356.xml" ContentType="application/vnd.openxmlformats-officedocument.spreadsheetml.table+xml"/>
  <Override PartName="/xl/tables/table357.xml" ContentType="application/vnd.openxmlformats-officedocument.spreadsheetml.table+xml"/>
  <Override PartName="/xl/tables/table358.xml" ContentType="application/vnd.openxmlformats-officedocument.spreadsheetml.table+xml"/>
  <Override PartName="/xl/tables/table359.xml" ContentType="application/vnd.openxmlformats-officedocument.spreadsheetml.table+xml"/>
  <Override PartName="/xl/tables/table360.xml" ContentType="application/vnd.openxmlformats-officedocument.spreadsheetml.table+xml"/>
  <Override PartName="/xl/tables/table361.xml" ContentType="application/vnd.openxmlformats-officedocument.spreadsheetml.table+xml"/>
  <Override PartName="/xl/tables/table362.xml" ContentType="application/vnd.openxmlformats-officedocument.spreadsheetml.table+xml"/>
  <Override PartName="/xl/tables/table363.xml" ContentType="application/vnd.openxmlformats-officedocument.spreadsheetml.table+xml"/>
  <Override PartName="/xl/tables/table364.xml" ContentType="application/vnd.openxmlformats-officedocument.spreadsheetml.table+xml"/>
  <Override PartName="/xl/tables/table365.xml" ContentType="application/vnd.openxmlformats-officedocument.spreadsheetml.table+xml"/>
  <Override PartName="/xl/tables/table366.xml" ContentType="application/vnd.openxmlformats-officedocument.spreadsheetml.table+xml"/>
  <Override PartName="/xl/tables/table367.xml" ContentType="application/vnd.openxmlformats-officedocument.spreadsheetml.table+xml"/>
  <Override PartName="/xl/tables/table368.xml" ContentType="application/vnd.openxmlformats-officedocument.spreadsheetml.table+xml"/>
  <Override PartName="/xl/tables/table369.xml" ContentType="application/vnd.openxmlformats-officedocument.spreadsheetml.table+xml"/>
  <Override PartName="/xl/tables/table370.xml" ContentType="application/vnd.openxmlformats-officedocument.spreadsheetml.table+xml"/>
  <Override PartName="/xl/tables/table371.xml" ContentType="application/vnd.openxmlformats-officedocument.spreadsheetml.table+xml"/>
  <Override PartName="/xl/tables/table37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73.xml" ContentType="application/vnd.openxmlformats-officedocument.spreadsheetml.table+xml"/>
  <Override PartName="/xl/tables/table374.xml" ContentType="application/vnd.openxmlformats-officedocument.spreadsheetml.table+xml"/>
  <Override PartName="/xl/tables/table375.xml" ContentType="application/vnd.openxmlformats-officedocument.spreadsheetml.table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vasterasfriidrott.sharepoint.com/Delade dokument/GEMENSAM/Hallbokningar/Public/"/>
    </mc:Choice>
  </mc:AlternateContent>
  <xr:revisionPtr revIDLastSave="0" documentId="8_{91A5EEFE-6A00-452A-B71B-9A0C33E457BF}" xr6:coauthVersionLast="47" xr6:coauthVersionMax="47" xr10:uidLastSave="{00000000-0000-0000-0000-000000000000}"/>
  <bookViews>
    <workbookView xWindow="-108" yWindow="-108" windowWidth="23256" windowHeight="12456" firstSheet="28" activeTab="28" xr2:uid="{7DB404AA-9E09-41D3-8CEE-9790FFD231AA}"/>
  </bookViews>
  <sheets>
    <sheet name="V. 1, 30 dec-5 jan" sheetId="1" state="hidden" r:id="rId1"/>
    <sheet name="V. 2, 6 jan-12 jan" sheetId="5" state="hidden" r:id="rId2"/>
    <sheet name="V. 3, 13 jan-19 jan" sheetId="6" state="hidden" r:id="rId3"/>
    <sheet name="V. 4, 20 jan-26 jan" sheetId="7" state="hidden" r:id="rId4"/>
    <sheet name="V. 5, 27 jan-2 feb" sheetId="22" state="hidden" r:id="rId5"/>
    <sheet name="V. 6, 3 feb-9 feb" sheetId="27" state="hidden" r:id="rId6"/>
    <sheet name="V. 7, 10 feb-16 feb" sheetId="28" state="hidden" r:id="rId7"/>
    <sheet name="V. 8, 17 feb-23 feb" sheetId="74" state="hidden" r:id="rId8"/>
    <sheet name="V. 9, 24 feb-2 mar" sheetId="73" state="hidden" r:id="rId9"/>
    <sheet name="V. 10, 3 mar-9 mar" sheetId="72" state="hidden" r:id="rId10"/>
    <sheet name="V. 11, 10 mar-16 mar" sheetId="71" state="hidden" r:id="rId11"/>
    <sheet name="V. 12, 17 mar-23 mar" sheetId="70" state="hidden" r:id="rId12"/>
    <sheet name="V. 13, 24 mar-30 mar" sheetId="69" state="hidden" r:id="rId13"/>
    <sheet name="V. 14, 31 mar-6 apr" sheetId="68" state="hidden" r:id="rId14"/>
    <sheet name="V. 15, 7 apr-13 apr" sheetId="67" state="hidden" r:id="rId15"/>
    <sheet name="V. 16, 14 apr-20 apr" sheetId="66" state="hidden" r:id="rId16"/>
    <sheet name="V. 17, 21 apr-27 apr" sheetId="65" state="hidden" r:id="rId17"/>
    <sheet name="V. 18, 28 apr-4 maj" sheetId="64" state="hidden" r:id="rId18"/>
    <sheet name="V. 19, 5 maj-11 maj" sheetId="63" state="hidden" r:id="rId19"/>
    <sheet name="V. 20, 12 maj-18 maj" sheetId="62" state="hidden" r:id="rId20"/>
    <sheet name="V. 21, 19 maj-25 maj" sheetId="61" state="hidden" r:id="rId21"/>
    <sheet name="V. 22, 26 maj-1 jun" sheetId="60" state="hidden" r:id="rId22"/>
    <sheet name="V. 23, 2 jun-8 jun" sheetId="59" state="hidden" r:id="rId23"/>
    <sheet name="V. 24, 9 jun-15 jun" sheetId="58" state="hidden" r:id="rId24"/>
    <sheet name="V. 25, 16 jun-22 jun" sheetId="57" state="hidden" r:id="rId25"/>
    <sheet name="V. 26, 23 jun-29 jun" sheetId="78" state="hidden" r:id="rId26"/>
    <sheet name="V. 27, 30 jun-6 jul" sheetId="55" state="hidden" r:id="rId27"/>
    <sheet name="V. 28, 7 jul-13 jul" sheetId="54" state="hidden" r:id="rId28"/>
    <sheet name="V. 29, 14 jul-20 jul" sheetId="53" r:id="rId29"/>
    <sheet name="V. 30, 21 jul-27 jul" sheetId="52" r:id="rId30"/>
    <sheet name="V. 31, 28 jul-3 aug" sheetId="51" r:id="rId31"/>
    <sheet name="V. 32, 4 aug-10 aug" sheetId="49" r:id="rId32"/>
    <sheet name="V. 33, 11 aug-17 aug" sheetId="48" r:id="rId33"/>
    <sheet name="V. 34, 18 aug-24 aug" sheetId="47" r:id="rId34"/>
    <sheet name="V. 35, 25 aug-31 aug" sheetId="46" r:id="rId35"/>
    <sheet name="V. 36, 1 sep-7 sep" sheetId="45" r:id="rId36"/>
    <sheet name="V. 37, 8 sep-14 sep" sheetId="44" r:id="rId37"/>
    <sheet name="V. 38, 15 sep-21 sep" sheetId="43" r:id="rId38"/>
    <sheet name="V. 39, 22 sep-28 sep" sheetId="42" r:id="rId39"/>
    <sheet name="V. 40, 29 sep-5 okt" sheetId="41" r:id="rId40"/>
    <sheet name="V. 41, 6 okt-12 okt" sheetId="40" r:id="rId41"/>
    <sheet name="V. 42, 13 okt-19 okt" sheetId="39" r:id="rId42"/>
    <sheet name="V. 43, 20 okt-26 okt" sheetId="38" r:id="rId43"/>
    <sheet name="V. 44, 27 okt-2 nov" sheetId="37" r:id="rId44"/>
    <sheet name="V. 45, 3 nov-9 nov" sheetId="36" r:id="rId45"/>
    <sheet name="V. 46, 10 nov-16 nov" sheetId="35" r:id="rId46"/>
    <sheet name="V. 47, 17 nov-23 nov" sheetId="34" r:id="rId47"/>
    <sheet name="V. 48, 24 nov-30 nov" sheetId="33" r:id="rId48"/>
    <sheet name="V. 49, 1 dec-7 dec" sheetId="32" r:id="rId49"/>
    <sheet name="V. 50, 8 dec-14 dec" sheetId="31" r:id="rId50"/>
    <sheet name="V. 51, 15 dec-21 dec" sheetId="29" r:id="rId51"/>
    <sheet name="V. 52, 22 dec-28 dec" sheetId="30" r:id="rId52"/>
    <sheet name="V. 1, 29 dec-4 jan" sheetId="50" r:id="rId53"/>
    <sheet name="Kontaktuppgifter" sheetId="4" state="hidden" r:id="rId54"/>
    <sheet name="Fakturamall" sheetId="76" state="hidden" r:id="rId55"/>
    <sheet name="Kalenderår" sheetId="2" state="hidden" r:id="rId56"/>
    <sheet name="Listor" sheetId="3" state="hidden" r:id="rId57"/>
  </sheets>
  <definedNames>
    <definedName name="Fredag1">Kalenderår!$H$2</definedName>
    <definedName name="Fredag10">Kalenderår!$H$11</definedName>
    <definedName name="Fredag11">Kalenderår!$H$12</definedName>
    <definedName name="Fredag12">Kalenderår!$H$13</definedName>
    <definedName name="Fredag13">Kalenderår!$H$14</definedName>
    <definedName name="Fredag14">Kalenderår!$H$15</definedName>
    <definedName name="Fredag15">Kalenderår!$H$16</definedName>
    <definedName name="Fredag16">Kalenderår!$H$17</definedName>
    <definedName name="Fredag17">Kalenderår!$H$18</definedName>
    <definedName name="Fredag18">Kalenderår!$H$19</definedName>
    <definedName name="Fredag19">Kalenderår!$H$20</definedName>
    <definedName name="Fredag2">Kalenderår!$H$3</definedName>
    <definedName name="Fredag20">Kalenderår!$H$21</definedName>
    <definedName name="Fredag21">Kalenderår!$H$22</definedName>
    <definedName name="Fredag22">Kalenderår!$H$23</definedName>
    <definedName name="Fredag23">Kalenderår!$H$24</definedName>
    <definedName name="Fredag24">Kalenderår!$H$25</definedName>
    <definedName name="Fredag25">Kalenderår!$H$26</definedName>
    <definedName name="Fredag26">Kalenderår!$H$27</definedName>
    <definedName name="Fredag27">Kalenderår!$H$28</definedName>
    <definedName name="Fredag28">Kalenderår!$H$29</definedName>
    <definedName name="Fredag29">Kalenderår!$H$30</definedName>
    <definedName name="Fredag3">Kalenderår!$H$4</definedName>
    <definedName name="Fredag30">Kalenderår!$H$31</definedName>
    <definedName name="Fredag31">Kalenderår!$H$32</definedName>
    <definedName name="Fredag32">Kalenderår!$H$33</definedName>
    <definedName name="Fredag33">Kalenderår!$H$34</definedName>
    <definedName name="Fredag34">Kalenderår!$H$35</definedName>
    <definedName name="Fredag35">Kalenderår!$H$36</definedName>
    <definedName name="Fredag36">Kalenderår!$H$37</definedName>
    <definedName name="Fredag37">Kalenderår!$H$38</definedName>
    <definedName name="Fredag38">Kalenderår!$H$39</definedName>
    <definedName name="Fredag39">Kalenderår!$H$40</definedName>
    <definedName name="Fredag4">Kalenderår!$H$5</definedName>
    <definedName name="Fredag40">Kalenderår!$H$41</definedName>
    <definedName name="Fredag41">Kalenderår!$H$42</definedName>
    <definedName name="Fredag42">Kalenderår!$H$43</definedName>
    <definedName name="Fredag43">Kalenderår!$H$44</definedName>
    <definedName name="Fredag44">Kalenderår!$H$45</definedName>
    <definedName name="Fredag45">Kalenderår!$H$46</definedName>
    <definedName name="Fredag46">Kalenderår!$H$47</definedName>
    <definedName name="Fredag47">Kalenderår!$H$48</definedName>
    <definedName name="Fredag48">Kalenderår!$H$49</definedName>
    <definedName name="Fredag49">Kalenderår!$H$50</definedName>
    <definedName name="Fredag5">Kalenderår!$H$6</definedName>
    <definedName name="Fredag50">Kalenderår!$H$51</definedName>
    <definedName name="Fredag51">Kalenderår!$H$52</definedName>
    <definedName name="Fredag52">Kalenderår!$H$53</definedName>
    <definedName name="Fredag53">Kalenderår!$H$54</definedName>
    <definedName name="Fredag6">Kalenderår!$H$7</definedName>
    <definedName name="Fredag7">Kalenderår!$H$8</definedName>
    <definedName name="Fredag8">Kalenderår!$H$9</definedName>
    <definedName name="Fredag9">Kalenderår!$H$10</definedName>
    <definedName name="Lördag1">Kalenderår!$I$2</definedName>
    <definedName name="Lördag10">Kalenderår!$I$11</definedName>
    <definedName name="Lördag11">Kalenderår!$I$12</definedName>
    <definedName name="Lördag12">Kalenderår!$I$13</definedName>
    <definedName name="Lördag13">Kalenderår!$I$14</definedName>
    <definedName name="Lördag14">Kalenderår!$I$15</definedName>
    <definedName name="Lördag15">Kalenderår!$I$16</definedName>
    <definedName name="Lördag16">Kalenderår!$I$17</definedName>
    <definedName name="Lördag17">Kalenderår!$I$18</definedName>
    <definedName name="Lördag18">Kalenderår!$I$19</definedName>
    <definedName name="Lördag19">Kalenderår!$I$20</definedName>
    <definedName name="Lördag2">Kalenderår!$I$3</definedName>
    <definedName name="Lördag20">Kalenderår!$I$21</definedName>
    <definedName name="Lördag21">Kalenderår!$I$22</definedName>
    <definedName name="Lördag22">Kalenderår!$I$23</definedName>
    <definedName name="Lördag23">Kalenderår!$I$24</definedName>
    <definedName name="Lördag24">Kalenderår!$I$25</definedName>
    <definedName name="Lördag25">Kalenderår!$I$26</definedName>
    <definedName name="Lördag26">Kalenderår!$I$27</definedName>
    <definedName name="Lördag27">Kalenderår!$I$28</definedName>
    <definedName name="Lördag28">Kalenderår!$I$29</definedName>
    <definedName name="Lördag29">Kalenderår!$I$30</definedName>
    <definedName name="Lördag3">Kalenderår!$I$4</definedName>
    <definedName name="Lördag30">Kalenderår!$I$31</definedName>
    <definedName name="Lördag31">Kalenderår!$I$32</definedName>
    <definedName name="Lördag32">Kalenderår!$I$33</definedName>
    <definedName name="Lördag33">Kalenderår!$I$34</definedName>
    <definedName name="Lördag34">Kalenderår!$I$35</definedName>
    <definedName name="Lördag35">Kalenderår!$I$36</definedName>
    <definedName name="Lördag36">Kalenderår!$I$37</definedName>
    <definedName name="Lördag37">Kalenderår!$I$38</definedName>
    <definedName name="Lördag38">Kalenderår!$I$39</definedName>
    <definedName name="Lördag39">Kalenderår!$I$40</definedName>
    <definedName name="Lördag4">Kalenderår!$I$5</definedName>
    <definedName name="Lördag40">Kalenderår!$I$41</definedName>
    <definedName name="Lördag41">Kalenderår!$I$42</definedName>
    <definedName name="Lördag42">Kalenderår!$I$43</definedName>
    <definedName name="Lördag43">Kalenderår!$I$44</definedName>
    <definedName name="Lördag44">Kalenderår!$I$45</definedName>
    <definedName name="Lördag45">Kalenderår!$I$46</definedName>
    <definedName name="Lördag46">Kalenderår!$I$47</definedName>
    <definedName name="Lördag47">Kalenderår!$I$48</definedName>
    <definedName name="Lördag48">Kalenderår!$I$49</definedName>
    <definedName name="Lördag49">Kalenderår!$I$50</definedName>
    <definedName name="Lördag5">Kalenderår!$I$6</definedName>
    <definedName name="Lördag50">Kalenderår!$I$51</definedName>
    <definedName name="Lördag51">Kalenderår!$I$52</definedName>
    <definedName name="Lördag52">Kalenderår!$I$53</definedName>
    <definedName name="Lördag53">Kalenderår!$I$54</definedName>
    <definedName name="Lördag6">Kalenderår!$I$7</definedName>
    <definedName name="Lördag7">Kalenderår!$I$8</definedName>
    <definedName name="Lördag8">Kalenderår!$I$9</definedName>
    <definedName name="Lördag9">Kalenderår!$I$10</definedName>
    <definedName name="Måndag1">Kalenderår!$D$2</definedName>
    <definedName name="Måndag10">Kalenderår!$D$11</definedName>
    <definedName name="Måndag11">Kalenderår!$D$12</definedName>
    <definedName name="Måndag12">Kalenderår!$D$13</definedName>
    <definedName name="Måndag13">Kalenderår!$D$14</definedName>
    <definedName name="Måndag14">Kalenderår!$D$15</definedName>
    <definedName name="Måndag15">Kalenderår!$D$16</definedName>
    <definedName name="Måndag16">Kalenderår!$D$17</definedName>
    <definedName name="Måndag17">Kalenderår!$D$18</definedName>
    <definedName name="Måndag18">Kalenderår!$D$19</definedName>
    <definedName name="Måndag19">Kalenderår!$D$20</definedName>
    <definedName name="Måndag2">Kalenderår!$D$3</definedName>
    <definedName name="Måndag20">Kalenderår!$D$21</definedName>
    <definedName name="Måndag21">Kalenderår!$D$22</definedName>
    <definedName name="Måndag22">Kalenderår!$D$23</definedName>
    <definedName name="Måndag23">Kalenderår!$D$24</definedName>
    <definedName name="Måndag24">Kalenderår!$D$25</definedName>
    <definedName name="Måndag25">Kalenderår!$D$26</definedName>
    <definedName name="Måndag26">Kalenderår!$D$27</definedName>
    <definedName name="Måndag27">Kalenderår!$D$28</definedName>
    <definedName name="Måndag28">Kalenderår!$D$29</definedName>
    <definedName name="Måndag29">Kalenderår!$D$30</definedName>
    <definedName name="Måndag3">Kalenderår!$D$4</definedName>
    <definedName name="Måndag30">Kalenderår!$D$31</definedName>
    <definedName name="Måndag31">Kalenderår!$D$32</definedName>
    <definedName name="Måndag32">Kalenderår!$D$33</definedName>
    <definedName name="Måndag33">Kalenderår!$D$34</definedName>
    <definedName name="Måndag34">Kalenderår!$D$35</definedName>
    <definedName name="Måndag35">Kalenderår!$D$36</definedName>
    <definedName name="Måndag36">Kalenderår!$D$37</definedName>
    <definedName name="Måndag37">Kalenderår!$D$38</definedName>
    <definedName name="Måndag38">Kalenderår!$D$39</definedName>
    <definedName name="Måndag39">Kalenderår!$D$40</definedName>
    <definedName name="Måndag4">Kalenderår!$D$5</definedName>
    <definedName name="Måndag40">Kalenderår!$D$41</definedName>
    <definedName name="Måndag41">Kalenderår!$D$42</definedName>
    <definedName name="Måndag42">Kalenderår!$D$43</definedName>
    <definedName name="Måndag43">Kalenderår!$D$44</definedName>
    <definedName name="Måndag44">Kalenderår!$D$45</definedName>
    <definedName name="Måndag45">Kalenderår!$D$46</definedName>
    <definedName name="Måndag46">Kalenderår!$D$47</definedName>
    <definedName name="Måndag47">Kalenderår!$D$48</definedName>
    <definedName name="Måndag48">Kalenderår!$D$49</definedName>
    <definedName name="Måndag49">Kalenderår!$D$50</definedName>
    <definedName name="Måndag5">Kalenderår!$D$6</definedName>
    <definedName name="Måndag50">Kalenderår!$D$51</definedName>
    <definedName name="Måndag51">Kalenderår!$D$52</definedName>
    <definedName name="Måndag52">Kalenderår!$D$53</definedName>
    <definedName name="Måndag53">Kalenderår!$D$54</definedName>
    <definedName name="Måndag6">Kalenderår!$D$7</definedName>
    <definedName name="Måndag7">Kalenderår!$D$8</definedName>
    <definedName name="Måndag8">Kalenderår!$D$9</definedName>
    <definedName name="Måndag9">Kalenderår!$D$10</definedName>
    <definedName name="Onsdag1">Kalenderår!$F$2</definedName>
    <definedName name="Onsdag10">Kalenderår!$F$11</definedName>
    <definedName name="Onsdag11">Kalenderår!$F$12</definedName>
    <definedName name="Onsdag12">Kalenderår!$F$13</definedName>
    <definedName name="Onsdag13">Kalenderår!$F$14</definedName>
    <definedName name="Onsdag14">Kalenderår!$F$15</definedName>
    <definedName name="Onsdag15">Kalenderår!$F$16</definedName>
    <definedName name="Onsdag16">Kalenderår!$F$17</definedName>
    <definedName name="Onsdag17">Kalenderår!$F$18</definedName>
    <definedName name="Onsdag18">Kalenderår!$F$19</definedName>
    <definedName name="Onsdag19">Kalenderår!$F$20</definedName>
    <definedName name="Onsdag2">Kalenderår!$F$3</definedName>
    <definedName name="Onsdag20">Kalenderår!$F$21</definedName>
    <definedName name="Onsdag21">Kalenderår!$F$22</definedName>
    <definedName name="Onsdag22">Kalenderår!$F$23</definedName>
    <definedName name="Onsdag23">Kalenderår!$F$24</definedName>
    <definedName name="Onsdag24">Kalenderår!$F$25</definedName>
    <definedName name="Onsdag25">Kalenderår!$F$26</definedName>
    <definedName name="Onsdag26">Kalenderår!$F$27</definedName>
    <definedName name="Onsdag27">Kalenderår!$F$28</definedName>
    <definedName name="Onsdag28">Kalenderår!$F$29</definedName>
    <definedName name="Onsdag29">Kalenderår!$F$30</definedName>
    <definedName name="Onsdag3">Kalenderår!$F$4</definedName>
    <definedName name="Onsdag30">Kalenderår!$F$31</definedName>
    <definedName name="Onsdag31">Kalenderår!$F$32</definedName>
    <definedName name="Onsdag32">Kalenderår!$F$33</definedName>
    <definedName name="Onsdag33">Kalenderår!$F$34</definedName>
    <definedName name="Onsdag34">Kalenderår!$F$35</definedName>
    <definedName name="Onsdag35">Kalenderår!$F$36</definedName>
    <definedName name="Onsdag36">Kalenderår!$F$37</definedName>
    <definedName name="Onsdag37">Kalenderår!$F$38</definedName>
    <definedName name="Onsdag38">Kalenderår!$F$39</definedName>
    <definedName name="Onsdag39">Kalenderår!$F$40</definedName>
    <definedName name="Onsdag4">Kalenderår!$F$5</definedName>
    <definedName name="Onsdag40">Kalenderår!$F$41</definedName>
    <definedName name="Onsdag41">Kalenderår!$F$42</definedName>
    <definedName name="Onsdag42">Kalenderår!$F$43</definedName>
    <definedName name="Onsdag43">Kalenderår!$F$44</definedName>
    <definedName name="Onsdag44">Kalenderår!$F$45</definedName>
    <definedName name="Onsdag45">Kalenderår!$F$46</definedName>
    <definedName name="Onsdag46">Kalenderår!$F$47</definedName>
    <definedName name="Onsdag47">Kalenderår!$F$48</definedName>
    <definedName name="Onsdag48">Kalenderår!$F$49</definedName>
    <definedName name="Onsdag49">Kalenderår!$F$50</definedName>
    <definedName name="Onsdag5">Kalenderår!$F$6</definedName>
    <definedName name="Onsdag50">Kalenderår!$F$51</definedName>
    <definedName name="Onsdag51">Kalenderår!$F$52</definedName>
    <definedName name="Onsdag52">Kalenderår!$F$53</definedName>
    <definedName name="Onsdag53">Kalenderår!$F$54</definedName>
    <definedName name="Onsdag6">Kalenderår!$F$7</definedName>
    <definedName name="Onsdag7">Kalenderår!$F$8</definedName>
    <definedName name="Onsdag8">Kalenderår!$F$9</definedName>
    <definedName name="Onsdag9">Kalenderår!$F$10</definedName>
    <definedName name="Söndag1">Kalenderår!$J$2</definedName>
    <definedName name="Söndag10">Kalenderår!$J$11</definedName>
    <definedName name="Söndag11">Kalenderår!$J$12</definedName>
    <definedName name="Söndag12">Kalenderår!$J$13</definedName>
    <definedName name="Söndag13">Kalenderår!$J$14</definedName>
    <definedName name="Söndag14">Kalenderår!$J$15</definedName>
    <definedName name="Söndag15">Kalenderår!$J$16</definedName>
    <definedName name="Söndag16">Kalenderår!$J$17</definedName>
    <definedName name="Söndag17">Kalenderår!$J$18</definedName>
    <definedName name="Söndag18">Kalenderår!$J$19</definedName>
    <definedName name="Söndag19">Kalenderår!$J$20</definedName>
    <definedName name="Söndag2">Kalenderår!$J$3</definedName>
    <definedName name="Söndag20">Kalenderår!$J$21</definedName>
    <definedName name="Söndag21">Kalenderår!$J$22</definedName>
    <definedName name="Söndag22">Kalenderår!$J$23</definedName>
    <definedName name="Söndag23">Kalenderår!$J$24</definedName>
    <definedName name="Söndag24">Kalenderår!$J$25</definedName>
    <definedName name="Söndag25">Kalenderår!$J$26</definedName>
    <definedName name="Söndag26">Kalenderår!$J$27</definedName>
    <definedName name="Söndag27">Kalenderår!$J$28</definedName>
    <definedName name="Söndag28">Kalenderår!$J$29</definedName>
    <definedName name="Söndag29">Kalenderår!$J$30</definedName>
    <definedName name="Söndag3">Kalenderår!$J$4</definedName>
    <definedName name="Söndag30">Kalenderår!$J$31</definedName>
    <definedName name="Söndag31">Kalenderår!$J$32</definedName>
    <definedName name="Söndag32">Kalenderår!$J$33</definedName>
    <definedName name="Söndag33">Kalenderår!$J$34</definedName>
    <definedName name="Söndag34">Kalenderår!$J$35</definedName>
    <definedName name="Söndag35">Kalenderår!$J$36</definedName>
    <definedName name="Söndag36">Kalenderår!$J$37</definedName>
    <definedName name="Söndag37">Kalenderår!$J$38</definedName>
    <definedName name="Söndag38">Kalenderår!$J$39</definedName>
    <definedName name="Söndag39">Kalenderår!$J$40</definedName>
    <definedName name="Söndag4">Kalenderår!$J$5</definedName>
    <definedName name="Söndag40">Kalenderår!$J$41</definedName>
    <definedName name="Söndag41">Kalenderår!$J$42</definedName>
    <definedName name="Söndag42">Kalenderår!$J$43</definedName>
    <definedName name="Söndag43">Kalenderår!$J$44</definedName>
    <definedName name="Söndag44">Kalenderår!$J$45</definedName>
    <definedName name="Söndag45">Kalenderår!$J$46</definedName>
    <definedName name="Söndag46">Kalenderår!$J$47</definedName>
    <definedName name="Söndag47">Kalenderår!$J$48</definedName>
    <definedName name="Söndag48">Kalenderår!$J$49</definedName>
    <definedName name="Söndag49">Kalenderår!$J$50</definedName>
    <definedName name="Söndag5">Kalenderår!$J$6</definedName>
    <definedName name="Söndag50">Kalenderår!$J$51</definedName>
    <definedName name="Söndag51">Kalenderår!$J$52</definedName>
    <definedName name="Söndag52">Kalenderår!$J$53</definedName>
    <definedName name="Söndag53">Kalenderår!$J$54</definedName>
    <definedName name="Söndag6">Kalenderår!$J$7</definedName>
    <definedName name="Söndag7">Kalenderår!$J$8</definedName>
    <definedName name="Söndag8">Kalenderår!$J$9</definedName>
    <definedName name="Söndag9">Kalenderår!$J$10</definedName>
    <definedName name="Tisdag1">Kalenderår!$E$2</definedName>
    <definedName name="Tisdag10">Kalenderår!$E$11</definedName>
    <definedName name="Tisdag11">Kalenderår!$E$12</definedName>
    <definedName name="Tisdag12">Kalenderår!$E$13</definedName>
    <definedName name="Tisdag13">Kalenderår!$E$14</definedName>
    <definedName name="Tisdag14">Kalenderår!$E$15</definedName>
    <definedName name="Tisdag15">Kalenderår!$E$16</definedName>
    <definedName name="Tisdag16">Kalenderår!$E$17</definedName>
    <definedName name="Tisdag17">Kalenderår!$E$18</definedName>
    <definedName name="Tisdag18">Kalenderår!$E$19</definedName>
    <definedName name="Tisdag19">Kalenderår!$E$20</definedName>
    <definedName name="Tisdag2">Kalenderår!$E$3</definedName>
    <definedName name="Tisdag20">Kalenderår!$E$21</definedName>
    <definedName name="Tisdag21">Kalenderår!$E$22</definedName>
    <definedName name="Tisdag22">Kalenderår!$E$23</definedName>
    <definedName name="Tisdag23">Kalenderår!$E$24</definedName>
    <definedName name="Tisdag24">Kalenderår!$E$25</definedName>
    <definedName name="Tisdag25">Kalenderår!$E$26</definedName>
    <definedName name="Tisdag26">Kalenderår!$E$27</definedName>
    <definedName name="Tisdag27">Kalenderår!$E$28</definedName>
    <definedName name="Tisdag28">Kalenderår!$E$29</definedName>
    <definedName name="Tisdag29">Kalenderår!$E$30</definedName>
    <definedName name="Tisdag3">Kalenderår!$E$4</definedName>
    <definedName name="Tisdag30">Kalenderår!$E$31</definedName>
    <definedName name="Tisdag31">Kalenderår!$E$32</definedName>
    <definedName name="Tisdag32">Kalenderår!$E$33</definedName>
    <definedName name="Tisdag33">Kalenderår!$E$34</definedName>
    <definedName name="Tisdag34">Kalenderår!$E$35</definedName>
    <definedName name="Tisdag35">Kalenderår!$E$36</definedName>
    <definedName name="Tisdag36">Kalenderår!$E$37</definedName>
    <definedName name="Tisdag37">Kalenderår!$E$38</definedName>
    <definedName name="Tisdag38">Kalenderår!$E$39</definedName>
    <definedName name="Tisdag39">Kalenderår!$E$40</definedName>
    <definedName name="Tisdag4">Kalenderår!$E$5</definedName>
    <definedName name="Tisdag40">Kalenderår!$E$41</definedName>
    <definedName name="Tisdag41">Kalenderår!$E$42</definedName>
    <definedName name="Tisdag42">Kalenderår!$E$43</definedName>
    <definedName name="Tisdag43">Kalenderår!$E$44</definedName>
    <definedName name="Tisdag44">Kalenderår!$E$45</definedName>
    <definedName name="Tisdag45">Kalenderår!$E$46</definedName>
    <definedName name="Tisdag46">Kalenderår!$E$47</definedName>
    <definedName name="Tisdag47">Kalenderår!$E$48</definedName>
    <definedName name="Tisdag48">Kalenderår!$E$49</definedName>
    <definedName name="Tisdag49">Kalenderår!$E$50</definedName>
    <definedName name="Tisdag5">Kalenderår!$E$6</definedName>
    <definedName name="Tisdag50">Kalenderår!$E$51</definedName>
    <definedName name="Tisdag51">Kalenderår!$E$52</definedName>
    <definedName name="Tisdag52">Kalenderår!$E$53</definedName>
    <definedName name="Tisdag53">Kalenderår!$E$54</definedName>
    <definedName name="Tisdag6">Kalenderår!$E$7</definedName>
    <definedName name="Tisdag7">Kalenderår!$E$8</definedName>
    <definedName name="Tisdag8">Kalenderår!$E$9</definedName>
    <definedName name="Tisdag9">Kalenderår!$E$10</definedName>
    <definedName name="Torsdag1">Kalenderår!$G$2</definedName>
    <definedName name="Torsdag10">Kalenderår!$G$11</definedName>
    <definedName name="Torsdag11">Kalenderår!$G$12</definedName>
    <definedName name="Torsdag12">Kalenderår!$G$13</definedName>
    <definedName name="Torsdag13">Kalenderår!$G$14</definedName>
    <definedName name="Torsdag14">Kalenderår!$G$15</definedName>
    <definedName name="Torsdag15">Kalenderår!$G$16</definedName>
    <definedName name="Torsdag16">Kalenderår!$G$17</definedName>
    <definedName name="Torsdag17">Kalenderår!$G$18</definedName>
    <definedName name="Torsdag18">Kalenderår!$G$19</definedName>
    <definedName name="Torsdag19">Kalenderår!$G$20</definedName>
    <definedName name="Torsdag2">Kalenderår!$G$3</definedName>
    <definedName name="Torsdag20">Kalenderår!$G$21</definedName>
    <definedName name="Torsdag21">Kalenderår!$G$22</definedName>
    <definedName name="Torsdag22">Kalenderår!$G$23</definedName>
    <definedName name="Torsdag23">Kalenderår!$G$24</definedName>
    <definedName name="Torsdag24">Kalenderår!$G$25</definedName>
    <definedName name="Torsdag25">Kalenderår!$G$26</definedName>
    <definedName name="Torsdag26">Kalenderår!$G$27</definedName>
    <definedName name="Torsdag27">Kalenderår!$G$28</definedName>
    <definedName name="Torsdag28">Kalenderår!$G$29</definedName>
    <definedName name="Torsdag29">Kalenderår!$G$30</definedName>
    <definedName name="Torsdag3">Kalenderår!$G$4</definedName>
    <definedName name="Torsdag30">Kalenderår!$G$31</definedName>
    <definedName name="Torsdag31">Kalenderår!$G$32</definedName>
    <definedName name="Torsdag32">Kalenderår!$G$33</definedName>
    <definedName name="Torsdag33">Kalenderår!$G$34</definedName>
    <definedName name="Torsdag34">Kalenderår!$G$35</definedName>
    <definedName name="Torsdag35">Kalenderår!$G$36</definedName>
    <definedName name="Torsdag36">Kalenderår!$G$37</definedName>
    <definedName name="Torsdag37">Kalenderår!$G$38</definedName>
    <definedName name="Torsdag38">Kalenderår!$G$39</definedName>
    <definedName name="Torsdag39">Kalenderår!$G$40</definedName>
    <definedName name="Torsdag4">Kalenderår!$G$5</definedName>
    <definedName name="Torsdag40">Kalenderår!$G$41</definedName>
    <definedName name="Torsdag41">Kalenderår!$G$42</definedName>
    <definedName name="Torsdag42">Kalenderår!$G$43</definedName>
    <definedName name="Torsdag43">Kalenderår!$G$44</definedName>
    <definedName name="Torsdag44">Kalenderår!$G$45</definedName>
    <definedName name="Torsdag45">Kalenderår!$G$46</definedName>
    <definedName name="Torsdag46">Kalenderår!$G$47</definedName>
    <definedName name="Torsdag47">Kalenderår!$G$48</definedName>
    <definedName name="Torsdag48">Kalenderår!$G$49</definedName>
    <definedName name="Torsdag49">Kalenderår!$G$50</definedName>
    <definedName name="Torsdag5">Kalenderår!$G$6</definedName>
    <definedName name="Torsdag50">Kalenderår!$G$51</definedName>
    <definedName name="Torsdag51">Kalenderår!$G$52</definedName>
    <definedName name="Torsdag52">Kalenderår!$G$53</definedName>
    <definedName name="Torsdag53">Kalenderår!$G$54</definedName>
    <definedName name="Torsdag6">Kalenderår!$G$7</definedName>
    <definedName name="Torsdag7">Kalenderår!$G$8</definedName>
    <definedName name="Torsdag8">Kalenderår!$G$9</definedName>
    <definedName name="Torsdag9">Kalenderår!$G$10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" i="78" l="1"/>
  <c r="W1" i="78"/>
  <c r="V1" i="78"/>
  <c r="B15" i="78"/>
  <c r="A15" i="78" s="1"/>
  <c r="B13" i="78"/>
  <c r="A13" i="78" s="1"/>
  <c r="B11" i="78"/>
  <c r="A11" i="78" s="1"/>
  <c r="B9" i="78"/>
  <c r="A9" i="78" s="1"/>
  <c r="B7" i="78"/>
  <c r="A7" i="78" s="1"/>
  <c r="B5" i="78"/>
  <c r="B3" i="78"/>
  <c r="A3" i="78" s="1"/>
  <c r="A5" i="78"/>
  <c r="A1" i="78"/>
  <c r="Y1" i="78" l="1"/>
  <c r="B16" i="61" l="1"/>
  <c r="A16" i="61" s="1"/>
  <c r="A1" i="1" l="1"/>
  <c r="M9" i="3" l="1"/>
  <c r="M10" i="3"/>
  <c r="M11" i="3"/>
  <c r="M12" i="3"/>
  <c r="M16" i="3"/>
  <c r="M18" i="3"/>
  <c r="M19" i="3"/>
  <c r="K21" i="3"/>
  <c r="M21" i="3" s="1"/>
  <c r="K7" i="3"/>
  <c r="M7" i="3" s="1"/>
  <c r="K6" i="3"/>
  <c r="M6" i="3" s="1"/>
  <c r="K22" i="3"/>
  <c r="M22" i="3" s="1"/>
  <c r="K20" i="3"/>
  <c r="M20" i="3" s="1"/>
  <c r="K18" i="3"/>
  <c r="K17" i="3"/>
  <c r="M17" i="3" s="1"/>
  <c r="K16" i="3"/>
  <c r="K15" i="3"/>
  <c r="M15" i="3" s="1"/>
  <c r="K14" i="3"/>
  <c r="M14" i="3" s="1"/>
  <c r="K13" i="3"/>
  <c r="M13" i="3" s="1"/>
  <c r="K9" i="3"/>
  <c r="K8" i="3"/>
  <c r="M8" i="3" s="1"/>
  <c r="K4" i="3"/>
  <c r="M4" i="3" s="1"/>
  <c r="K5" i="3"/>
  <c r="M5" i="3" s="1"/>
  <c r="K3" i="3"/>
  <c r="M3" i="3" l="1"/>
  <c r="B19" i="1"/>
  <c r="A19" i="1" s="1"/>
  <c r="B17" i="1"/>
  <c r="A17" i="1" s="1"/>
  <c r="B13" i="1"/>
  <c r="A13" i="1" s="1"/>
  <c r="B9" i="1"/>
  <c r="A9" i="1" s="1"/>
  <c r="B7" i="1"/>
  <c r="A7" i="1" s="1"/>
  <c r="B5" i="1"/>
  <c r="A5" i="1" s="1"/>
  <c r="B3" i="1"/>
  <c r="A3" i="1" s="1"/>
  <c r="A1" i="74"/>
  <c r="A1" i="73"/>
  <c r="A1" i="72"/>
  <c r="A1" i="71"/>
  <c r="A1" i="70"/>
  <c r="A1" i="69"/>
  <c r="A1" i="68"/>
  <c r="A1" i="67"/>
  <c r="A1" i="66"/>
  <c r="A1" i="65"/>
  <c r="A1" i="64"/>
  <c r="A1" i="63"/>
  <c r="A1" i="62"/>
  <c r="A1" i="61"/>
  <c r="A1" i="60"/>
  <c r="A1" i="59"/>
  <c r="A1" i="58"/>
  <c r="A1" i="57"/>
  <c r="A1" i="55"/>
  <c r="A1" i="54"/>
  <c r="A1" i="53"/>
  <c r="A1" i="52"/>
  <c r="A1" i="51"/>
  <c r="A1" i="50"/>
  <c r="A1" i="49"/>
  <c r="A1" i="48"/>
  <c r="A1" i="47"/>
  <c r="A1" i="46"/>
  <c r="A1" i="45"/>
  <c r="A1" i="44"/>
  <c r="A1" i="43"/>
  <c r="A1" i="42"/>
  <c r="A1" i="41"/>
  <c r="A1" i="40"/>
  <c r="A1" i="39"/>
  <c r="A1" i="38"/>
  <c r="A1" i="37"/>
  <c r="A1" i="36"/>
  <c r="A1" i="35"/>
  <c r="A1" i="34"/>
  <c r="A1" i="33"/>
  <c r="A1" i="32"/>
  <c r="A1" i="31"/>
  <c r="A1" i="30"/>
  <c r="A1" i="29"/>
  <c r="A1" i="28"/>
  <c r="A1" i="27"/>
  <c r="A1" i="22"/>
  <c r="A1" i="7"/>
  <c r="A1" i="6"/>
  <c r="A1" i="5"/>
  <c r="C2" i="2" l="1" a="1"/>
  <c r="C2" i="2" s="1"/>
  <c r="D2" i="2"/>
  <c r="V1" i="1" s="1"/>
  <c r="E2" i="2" l="1"/>
  <c r="D3" i="2"/>
  <c r="V1" i="5" l="1"/>
  <c r="B3" i="5"/>
  <c r="A3" i="5" s="1"/>
  <c r="F2" i="2"/>
  <c r="D4" i="2"/>
  <c r="E3" i="2"/>
  <c r="B3" i="6" l="1"/>
  <c r="A3" i="6" s="1"/>
  <c r="V1" i="6"/>
  <c r="F3" i="2"/>
  <c r="B5" i="5"/>
  <c r="A5" i="5" s="1"/>
  <c r="G2" i="2"/>
  <c r="D5" i="2"/>
  <c r="E4" i="2"/>
  <c r="F4" i="2" l="1"/>
  <c r="B8" i="6"/>
  <c r="A8" i="6" s="1"/>
  <c r="B3" i="7"/>
  <c r="A3" i="7" s="1"/>
  <c r="V1" i="7"/>
  <c r="G3" i="2"/>
  <c r="B12" i="5"/>
  <c r="A12" i="5" s="1"/>
  <c r="H2" i="2"/>
  <c r="D6" i="2"/>
  <c r="E5" i="2"/>
  <c r="G4" i="2" l="1"/>
  <c r="B14" i="6"/>
  <c r="A14" i="6" s="1"/>
  <c r="F5" i="2"/>
  <c r="B8" i="7"/>
  <c r="A8" i="7" s="1"/>
  <c r="B3" i="22"/>
  <c r="A3" i="22" s="1"/>
  <c r="V1" i="22"/>
  <c r="H3" i="2"/>
  <c r="B19" i="5"/>
  <c r="A19" i="5" s="1"/>
  <c r="I2" i="2"/>
  <c r="D7" i="2"/>
  <c r="E6" i="2"/>
  <c r="G5" i="2" l="1"/>
  <c r="B15" i="7"/>
  <c r="A15" i="7" s="1"/>
  <c r="F6" i="2"/>
  <c r="B9" i="22"/>
  <c r="A9" i="22" s="1"/>
  <c r="I3" i="2"/>
  <c r="B25" i="5"/>
  <c r="A25" i="5" s="1"/>
  <c r="B3" i="27"/>
  <c r="A3" i="27" s="1"/>
  <c r="V1" i="27"/>
  <c r="H4" i="2"/>
  <c r="B23" i="6"/>
  <c r="A23" i="6" s="1"/>
  <c r="J2" i="2"/>
  <c r="D8" i="2"/>
  <c r="E7" i="2"/>
  <c r="G6" i="2" l="1"/>
  <c r="B17" i="22"/>
  <c r="A17" i="22" s="1"/>
  <c r="J3" i="2"/>
  <c r="B31" i="5"/>
  <c r="A31" i="5" s="1"/>
  <c r="F7" i="2"/>
  <c r="B8" i="27"/>
  <c r="A8" i="27" s="1"/>
  <c r="B3" i="28"/>
  <c r="A3" i="28" s="1"/>
  <c r="V1" i="28"/>
  <c r="I4" i="2"/>
  <c r="B30" i="6"/>
  <c r="A30" i="6" s="1"/>
  <c r="X1" i="1"/>
  <c r="W1" i="1"/>
  <c r="H5" i="2"/>
  <c r="B24" i="7"/>
  <c r="A24" i="7" s="1"/>
  <c r="D9" i="2"/>
  <c r="E8" i="2"/>
  <c r="X1" i="5" l="1"/>
  <c r="B35" i="5"/>
  <c r="A35" i="5" s="1"/>
  <c r="W1" i="5"/>
  <c r="G7" i="2"/>
  <c r="B14" i="27"/>
  <c r="A14" i="27" s="1"/>
  <c r="F8" i="2"/>
  <c r="B8" i="28"/>
  <c r="A8" i="28" s="1"/>
  <c r="I5" i="2"/>
  <c r="B33" i="7"/>
  <c r="A33" i="7" s="1"/>
  <c r="B3" i="74"/>
  <c r="A3" i="74" s="1"/>
  <c r="V1" i="74"/>
  <c r="J4" i="2"/>
  <c r="B37" i="6"/>
  <c r="A37" i="6" s="1"/>
  <c r="Y1" i="1"/>
  <c r="H6" i="2"/>
  <c r="B27" i="22"/>
  <c r="A27" i="22" s="1"/>
  <c r="D10" i="2"/>
  <c r="E9" i="2"/>
  <c r="G8" i="2" l="1"/>
  <c r="B15" i="28"/>
  <c r="A15" i="28" s="1"/>
  <c r="J5" i="2"/>
  <c r="B39" i="7"/>
  <c r="A39" i="7" s="1"/>
  <c r="V1" i="73"/>
  <c r="B3" i="73"/>
  <c r="A3" i="73" s="1"/>
  <c r="Y1" i="5"/>
  <c r="H7" i="2"/>
  <c r="B23" i="27"/>
  <c r="A23" i="27" s="1"/>
  <c r="F9" i="2"/>
  <c r="B9" i="74"/>
  <c r="A9" i="74" s="1"/>
  <c r="I6" i="2"/>
  <c r="B33" i="22"/>
  <c r="A33" i="22" s="1"/>
  <c r="X1" i="6"/>
  <c r="W1" i="6"/>
  <c r="B39" i="6"/>
  <c r="A39" i="6" s="1"/>
  <c r="D11" i="2"/>
  <c r="E10" i="2"/>
  <c r="Y1" i="6" l="1"/>
  <c r="B41" i="7"/>
  <c r="A41" i="7" s="1"/>
  <c r="X1" i="7"/>
  <c r="W1" i="7"/>
  <c r="I7" i="2"/>
  <c r="B32" i="27"/>
  <c r="A32" i="27" s="1"/>
  <c r="G9" i="2"/>
  <c r="B16" i="74"/>
  <c r="A16" i="74" s="1"/>
  <c r="F10" i="2"/>
  <c r="B6" i="73"/>
  <c r="A6" i="73" s="1"/>
  <c r="B3" i="72"/>
  <c r="A3" i="72" s="1"/>
  <c r="V1" i="72"/>
  <c r="J6" i="2"/>
  <c r="B41" i="22"/>
  <c r="A41" i="22" s="1"/>
  <c r="H8" i="2"/>
  <c r="B24" i="28"/>
  <c r="A24" i="28" s="1"/>
  <c r="D12" i="2"/>
  <c r="E11" i="2"/>
  <c r="H9" i="2" l="1"/>
  <c r="B24" i="74"/>
  <c r="A24" i="74" s="1"/>
  <c r="G10" i="2"/>
  <c r="B13" i="73"/>
  <c r="A13" i="73" s="1"/>
  <c r="F11" i="2"/>
  <c r="B6" i="72"/>
  <c r="A6" i="72" s="1"/>
  <c r="I8" i="2"/>
  <c r="B34" i="28"/>
  <c r="A34" i="28" s="1"/>
  <c r="J7" i="2"/>
  <c r="B40" i="27"/>
  <c r="A40" i="27" s="1"/>
  <c r="B46" i="22"/>
  <c r="A46" i="22" s="1"/>
  <c r="W1" i="22"/>
  <c r="X1" i="22"/>
  <c r="B3" i="71"/>
  <c r="A3" i="71" s="1"/>
  <c r="V1" i="71"/>
  <c r="Y1" i="7"/>
  <c r="D13" i="2"/>
  <c r="E12" i="2"/>
  <c r="Y1" i="22" l="1"/>
  <c r="H10" i="2"/>
  <c r="B21" i="73"/>
  <c r="A21" i="73" s="1"/>
  <c r="G11" i="2"/>
  <c r="B13" i="72"/>
  <c r="A13" i="72" s="1"/>
  <c r="J8" i="2"/>
  <c r="B40" i="28"/>
  <c r="A40" i="28" s="1"/>
  <c r="X1" i="27"/>
  <c r="W1" i="27"/>
  <c r="B45" i="27"/>
  <c r="A45" i="27" s="1"/>
  <c r="F12" i="2"/>
  <c r="B7" i="71"/>
  <c r="A7" i="71" s="1"/>
  <c r="V1" i="70"/>
  <c r="B3" i="70"/>
  <c r="A3" i="70" s="1"/>
  <c r="I9" i="2"/>
  <c r="B31" i="74"/>
  <c r="A31" i="74" s="1"/>
  <c r="D14" i="2"/>
  <c r="E13" i="2"/>
  <c r="H11" i="2" l="1"/>
  <c r="B21" i="72"/>
  <c r="A21" i="72" s="1"/>
  <c r="Y1" i="27"/>
  <c r="X1" i="28"/>
  <c r="W1" i="28"/>
  <c r="B45" i="28"/>
  <c r="A45" i="28" s="1"/>
  <c r="G12" i="2"/>
  <c r="B14" i="71"/>
  <c r="A14" i="71" s="1"/>
  <c r="F13" i="2"/>
  <c r="B6" i="70"/>
  <c r="A6" i="70" s="1"/>
  <c r="J9" i="2"/>
  <c r="B37" i="74"/>
  <c r="A37" i="74" s="1"/>
  <c r="V1" i="69"/>
  <c r="B3" i="69"/>
  <c r="A3" i="69" s="1"/>
  <c r="I10" i="2"/>
  <c r="B27" i="73"/>
  <c r="A27" i="73" s="1"/>
  <c r="D15" i="2"/>
  <c r="E14" i="2"/>
  <c r="Y1" i="28" l="1"/>
  <c r="G13" i="2"/>
  <c r="B12" i="70"/>
  <c r="A12" i="70" s="1"/>
  <c r="X1" i="74"/>
  <c r="W1" i="74"/>
  <c r="B41" i="74"/>
  <c r="A41" i="74" s="1"/>
  <c r="H12" i="2"/>
  <c r="B22" i="71"/>
  <c r="A22" i="71" s="1"/>
  <c r="F14" i="2"/>
  <c r="B9" i="69"/>
  <c r="A9" i="69" s="1"/>
  <c r="J10" i="2"/>
  <c r="B32" i="73"/>
  <c r="A32" i="73" s="1"/>
  <c r="V1" i="68"/>
  <c r="B3" i="68"/>
  <c r="A3" i="68" s="1"/>
  <c r="I11" i="2"/>
  <c r="B27" i="72"/>
  <c r="A27" i="72" s="1"/>
  <c r="D16" i="2"/>
  <c r="E15" i="2"/>
  <c r="I12" i="2" l="1"/>
  <c r="B28" i="71"/>
  <c r="A28" i="71" s="1"/>
  <c r="G14" i="2"/>
  <c r="B16" i="69"/>
  <c r="A16" i="69" s="1"/>
  <c r="W1" i="73"/>
  <c r="B37" i="73"/>
  <c r="A37" i="73" s="1"/>
  <c r="X1" i="73"/>
  <c r="Y1" i="73" s="1"/>
  <c r="F15" i="2"/>
  <c r="B9" i="68"/>
  <c r="A9" i="68" s="1"/>
  <c r="J11" i="2"/>
  <c r="B33" i="72"/>
  <c r="A33" i="72" s="1"/>
  <c r="B3" i="67"/>
  <c r="A3" i="67" s="1"/>
  <c r="V1" i="67"/>
  <c r="Y1" i="74"/>
  <c r="H13" i="2"/>
  <c r="B20" i="70"/>
  <c r="A20" i="70" s="1"/>
  <c r="D17" i="2"/>
  <c r="E16" i="2"/>
  <c r="H14" i="2" l="1"/>
  <c r="B24" i="69"/>
  <c r="A24" i="69" s="1"/>
  <c r="G15" i="2"/>
  <c r="B17" i="68"/>
  <c r="A17" i="68" s="1"/>
  <c r="W1" i="72"/>
  <c r="B35" i="72"/>
  <c r="A35" i="72" s="1"/>
  <c r="X1" i="72"/>
  <c r="F16" i="2"/>
  <c r="B10" i="67"/>
  <c r="A10" i="67" s="1"/>
  <c r="I13" i="2"/>
  <c r="B26" i="70"/>
  <c r="A26" i="70" s="1"/>
  <c r="B3" i="66"/>
  <c r="A3" i="66" s="1"/>
  <c r="V1" i="66"/>
  <c r="J12" i="2"/>
  <c r="B33" i="71"/>
  <c r="A33" i="71" s="1"/>
  <c r="D18" i="2"/>
  <c r="E17" i="2"/>
  <c r="Y1" i="72" l="1"/>
  <c r="H15" i="2"/>
  <c r="B25" i="68"/>
  <c r="A25" i="68" s="1"/>
  <c r="G16" i="2"/>
  <c r="B18" i="67"/>
  <c r="A18" i="67" s="1"/>
  <c r="J13" i="2"/>
  <c r="B31" i="70"/>
  <c r="A31" i="70" s="1"/>
  <c r="F17" i="2"/>
  <c r="B7" i="66"/>
  <c r="A7" i="66" s="1"/>
  <c r="X1" i="71"/>
  <c r="W1" i="71"/>
  <c r="B37" i="71"/>
  <c r="A37" i="71" s="1"/>
  <c r="B3" i="65"/>
  <c r="A3" i="65" s="1"/>
  <c r="V1" i="65"/>
  <c r="I14" i="2"/>
  <c r="B31" i="69"/>
  <c r="A31" i="69" s="1"/>
  <c r="D19" i="2"/>
  <c r="E18" i="2"/>
  <c r="Y1" i="71" l="1"/>
  <c r="H16" i="2"/>
  <c r="B28" i="67"/>
  <c r="A28" i="67" s="1"/>
  <c r="B36" i="70"/>
  <c r="A36" i="70" s="1"/>
  <c r="X1" i="70"/>
  <c r="W1" i="70"/>
  <c r="J14" i="2"/>
  <c r="B37" i="69"/>
  <c r="A37" i="69" s="1"/>
  <c r="G17" i="2"/>
  <c r="B10" i="66"/>
  <c r="A10" i="66" s="1"/>
  <c r="F18" i="2"/>
  <c r="B5" i="65"/>
  <c r="A5" i="65" s="1"/>
  <c r="B3" i="64"/>
  <c r="A3" i="64" s="1"/>
  <c r="V1" i="64"/>
  <c r="I15" i="2"/>
  <c r="B32" i="68"/>
  <c r="A32" i="68" s="1"/>
  <c r="D20" i="2"/>
  <c r="E19" i="2"/>
  <c r="Y1" i="70" l="1"/>
  <c r="B41" i="69"/>
  <c r="A41" i="69" s="1"/>
  <c r="W1" i="69"/>
  <c r="X1" i="69"/>
  <c r="Y1" i="69" s="1"/>
  <c r="H17" i="2"/>
  <c r="B17" i="66"/>
  <c r="A17" i="66" s="1"/>
  <c r="G18" i="2"/>
  <c r="B12" i="65"/>
  <c r="A12" i="65" s="1"/>
  <c r="F19" i="2"/>
  <c r="B7" i="64"/>
  <c r="A7" i="64" s="1"/>
  <c r="J15" i="2"/>
  <c r="B40" i="68"/>
  <c r="A40" i="68" s="1"/>
  <c r="B3" i="63"/>
  <c r="A3" i="63" s="1"/>
  <c r="V1" i="63"/>
  <c r="I16" i="2"/>
  <c r="B36" i="67"/>
  <c r="A36" i="67" s="1"/>
  <c r="D21" i="2"/>
  <c r="E20" i="2"/>
  <c r="G19" i="2" l="1"/>
  <c r="B13" i="64"/>
  <c r="A13" i="64" s="1"/>
  <c r="X1" i="68"/>
  <c r="W1" i="68"/>
  <c r="B43" i="68"/>
  <c r="A43" i="68" s="1"/>
  <c r="H18" i="2"/>
  <c r="B20" i="65"/>
  <c r="A20" i="65" s="1"/>
  <c r="F20" i="2"/>
  <c r="B7" i="63"/>
  <c r="A7" i="63" s="1"/>
  <c r="J16" i="2"/>
  <c r="B41" i="67"/>
  <c r="A41" i="67" s="1"/>
  <c r="B3" i="62"/>
  <c r="A3" i="62" s="1"/>
  <c r="V1" i="62"/>
  <c r="I17" i="2"/>
  <c r="B21" i="66"/>
  <c r="A21" i="66" s="1"/>
  <c r="D22" i="2"/>
  <c r="E21" i="2"/>
  <c r="Y1" i="68" l="1"/>
  <c r="I18" i="2"/>
  <c r="B26" i="65"/>
  <c r="A26" i="65" s="1"/>
  <c r="G20" i="2"/>
  <c r="B13" i="63"/>
  <c r="A13" i="63" s="1"/>
  <c r="B46" i="67"/>
  <c r="A46" i="67" s="1"/>
  <c r="X1" i="67"/>
  <c r="W1" i="67"/>
  <c r="F21" i="2"/>
  <c r="B5" i="62"/>
  <c r="A5" i="62" s="1"/>
  <c r="J17" i="2"/>
  <c r="B23" i="66"/>
  <c r="A23" i="66" s="1"/>
  <c r="B3" i="61"/>
  <c r="A3" i="61" s="1"/>
  <c r="V1" i="61"/>
  <c r="H19" i="2"/>
  <c r="B19" i="64"/>
  <c r="A19" i="64" s="1"/>
  <c r="D23" i="2"/>
  <c r="E22" i="2"/>
  <c r="Y1" i="67" l="1"/>
  <c r="H20" i="2"/>
  <c r="B19" i="63"/>
  <c r="A19" i="63" s="1"/>
  <c r="G21" i="2"/>
  <c r="B10" i="62"/>
  <c r="A10" i="62" s="1"/>
  <c r="B25" i="66"/>
  <c r="A25" i="66" s="1"/>
  <c r="W1" i="66"/>
  <c r="X1" i="66"/>
  <c r="Y1" i="66" s="1"/>
  <c r="F22" i="2"/>
  <c r="B5" i="61"/>
  <c r="A5" i="61" s="1"/>
  <c r="I19" i="2"/>
  <c r="B21" i="64"/>
  <c r="A21" i="64" s="1"/>
  <c r="B3" i="60"/>
  <c r="A3" i="60" s="1"/>
  <c r="V1" i="60"/>
  <c r="J18" i="2"/>
  <c r="B31" i="65"/>
  <c r="A31" i="65" s="1"/>
  <c r="D24" i="2"/>
  <c r="E23" i="2"/>
  <c r="G22" i="2" l="1"/>
  <c r="B8" i="61"/>
  <c r="A8" i="61" s="1"/>
  <c r="J19" i="2"/>
  <c r="B25" i="64"/>
  <c r="A25" i="64" s="1"/>
  <c r="H21" i="2"/>
  <c r="B16" i="62"/>
  <c r="A16" i="62" s="1"/>
  <c r="F23" i="2"/>
  <c r="B6" i="60"/>
  <c r="A6" i="60" s="1"/>
  <c r="X1" i="65"/>
  <c r="B35" i="65"/>
  <c r="A35" i="65" s="1"/>
  <c r="W1" i="65"/>
  <c r="B3" i="59"/>
  <c r="A3" i="59" s="1"/>
  <c r="V1" i="59"/>
  <c r="I20" i="2"/>
  <c r="B25" i="63"/>
  <c r="A25" i="63" s="1"/>
  <c r="D25" i="2"/>
  <c r="E24" i="2"/>
  <c r="Y1" i="65" l="1"/>
  <c r="I21" i="2"/>
  <c r="B22" i="62"/>
  <c r="A22" i="62" s="1"/>
  <c r="G23" i="2"/>
  <c r="B10" i="60"/>
  <c r="A10" i="60" s="1"/>
  <c r="B28" i="64"/>
  <c r="A28" i="64" s="1"/>
  <c r="X1" i="64"/>
  <c r="W1" i="64"/>
  <c r="F24" i="2"/>
  <c r="B5" i="59"/>
  <c r="A5" i="59" s="1"/>
  <c r="J20" i="2"/>
  <c r="B30" i="63"/>
  <c r="A30" i="63" s="1"/>
  <c r="B3" i="58"/>
  <c r="A3" i="58" s="1"/>
  <c r="V1" i="58"/>
  <c r="H22" i="2"/>
  <c r="B10" i="61"/>
  <c r="A10" i="61" s="1"/>
  <c r="D26" i="2"/>
  <c r="E25" i="2"/>
  <c r="Y1" i="64" l="1"/>
  <c r="H23" i="2"/>
  <c r="B13" i="60"/>
  <c r="A13" i="60" s="1"/>
  <c r="G24" i="2"/>
  <c r="B8" i="59"/>
  <c r="A8" i="59" s="1"/>
  <c r="B32" i="63"/>
  <c r="A32" i="63" s="1"/>
  <c r="X1" i="63"/>
  <c r="W1" i="63"/>
  <c r="F25" i="2"/>
  <c r="B5" i="58"/>
  <c r="A5" i="58" s="1"/>
  <c r="I22" i="2"/>
  <c r="B13" i="61"/>
  <c r="A13" i="61" s="1"/>
  <c r="B3" i="57"/>
  <c r="A3" i="57" s="1"/>
  <c r="V1" i="57"/>
  <c r="J21" i="2"/>
  <c r="B28" i="62"/>
  <c r="A28" i="62" s="1"/>
  <c r="D27" i="2"/>
  <c r="E26" i="2"/>
  <c r="Y1" i="63" l="1"/>
  <c r="G25" i="2"/>
  <c r="B8" i="58"/>
  <c r="A8" i="58" s="1"/>
  <c r="H24" i="2"/>
  <c r="B10" i="59"/>
  <c r="A10" i="59" s="1"/>
  <c r="J22" i="2"/>
  <c r="F26" i="2"/>
  <c r="B5" i="57"/>
  <c r="A5" i="57" s="1"/>
  <c r="B30" i="62"/>
  <c r="A30" i="62" s="1"/>
  <c r="W1" i="62"/>
  <c r="X1" i="62"/>
  <c r="I23" i="2"/>
  <c r="B15" i="60"/>
  <c r="A15" i="60" s="1"/>
  <c r="D28" i="2"/>
  <c r="E27" i="2"/>
  <c r="Y1" i="62" l="1"/>
  <c r="B20" i="61"/>
  <c r="A20" i="61" s="1"/>
  <c r="X1" i="61"/>
  <c r="W1" i="61"/>
  <c r="I24" i="2"/>
  <c r="B13" i="59"/>
  <c r="A13" i="59" s="1"/>
  <c r="G26" i="2"/>
  <c r="B7" i="57"/>
  <c r="A7" i="57" s="1"/>
  <c r="F27" i="2"/>
  <c r="J23" i="2"/>
  <c r="B18" i="60"/>
  <c r="A18" i="60" s="1"/>
  <c r="B3" i="55"/>
  <c r="A3" i="55" s="1"/>
  <c r="V1" i="55"/>
  <c r="H25" i="2"/>
  <c r="B10" i="58"/>
  <c r="A10" i="58" s="1"/>
  <c r="D29" i="2"/>
  <c r="E28" i="2"/>
  <c r="G27" i="2" l="1"/>
  <c r="Y1" i="61"/>
  <c r="B20" i="60"/>
  <c r="A20" i="60" s="1"/>
  <c r="X1" i="60"/>
  <c r="W1" i="60"/>
  <c r="H26" i="2"/>
  <c r="B9" i="57"/>
  <c r="A9" i="57" s="1"/>
  <c r="F28" i="2"/>
  <c r="B5" i="55"/>
  <c r="A5" i="55" s="1"/>
  <c r="I25" i="2"/>
  <c r="B12" i="58"/>
  <c r="A12" i="58" s="1"/>
  <c r="B3" i="54"/>
  <c r="A3" i="54" s="1"/>
  <c r="V1" i="54"/>
  <c r="J24" i="2"/>
  <c r="B15" i="59"/>
  <c r="A15" i="59" s="1"/>
  <c r="D30" i="2"/>
  <c r="E29" i="2"/>
  <c r="Y1" i="60" l="1"/>
  <c r="J25" i="2"/>
  <c r="B15" i="58"/>
  <c r="A15" i="58" s="1"/>
  <c r="G28" i="2"/>
  <c r="B7" i="55"/>
  <c r="A7" i="55" s="1"/>
  <c r="F29" i="2"/>
  <c r="B5" i="54"/>
  <c r="A5" i="54" s="1"/>
  <c r="B17" i="59"/>
  <c r="A17" i="59" s="1"/>
  <c r="W1" i="59"/>
  <c r="X1" i="59"/>
  <c r="B3" i="53"/>
  <c r="A3" i="53" s="1"/>
  <c r="V1" i="53"/>
  <c r="I26" i="2"/>
  <c r="B11" i="57"/>
  <c r="A11" i="57" s="1"/>
  <c r="H27" i="2"/>
  <c r="D31" i="2"/>
  <c r="E30" i="2"/>
  <c r="Y1" i="59" l="1"/>
  <c r="G29" i="2"/>
  <c r="B7" i="54"/>
  <c r="A7" i="54" s="1"/>
  <c r="J26" i="2"/>
  <c r="B13" i="57"/>
  <c r="A13" i="57" s="1"/>
  <c r="H28" i="2"/>
  <c r="B9" i="55"/>
  <c r="A9" i="55" s="1"/>
  <c r="F30" i="2"/>
  <c r="B5" i="53"/>
  <c r="A5" i="53" s="1"/>
  <c r="I27" i="2"/>
  <c r="B3" i="52"/>
  <c r="A3" i="52" s="1"/>
  <c r="V1" i="52"/>
  <c r="B17" i="58"/>
  <c r="A17" i="58" s="1"/>
  <c r="X1" i="58"/>
  <c r="W1" i="58"/>
  <c r="D32" i="2"/>
  <c r="E31" i="2"/>
  <c r="Y1" i="58" l="1"/>
  <c r="I28" i="2"/>
  <c r="B11" i="55"/>
  <c r="A11" i="55" s="1"/>
  <c r="B15" i="57"/>
  <c r="A15" i="57" s="1"/>
  <c r="W1" i="57"/>
  <c r="X1" i="57"/>
  <c r="G30" i="2"/>
  <c r="B7" i="53"/>
  <c r="A7" i="53" s="1"/>
  <c r="J27" i="2"/>
  <c r="F31" i="2"/>
  <c r="B5" i="52"/>
  <c r="A5" i="52" s="1"/>
  <c r="B3" i="51"/>
  <c r="A3" i="51" s="1"/>
  <c r="V1" i="51"/>
  <c r="H29" i="2"/>
  <c r="B9" i="54"/>
  <c r="A9" i="54" s="1"/>
  <c r="D33" i="2"/>
  <c r="E32" i="2"/>
  <c r="Y1" i="57" l="1"/>
  <c r="G31" i="2"/>
  <c r="B7" i="52"/>
  <c r="A7" i="52" s="1"/>
  <c r="H30" i="2"/>
  <c r="B9" i="53"/>
  <c r="A9" i="53" s="1"/>
  <c r="F32" i="2"/>
  <c r="B5" i="51"/>
  <c r="A5" i="51" s="1"/>
  <c r="I29" i="2"/>
  <c r="B11" i="54"/>
  <c r="A11" i="54" s="1"/>
  <c r="B3" i="49"/>
  <c r="A3" i="49" s="1"/>
  <c r="V1" i="49"/>
  <c r="J28" i="2"/>
  <c r="B13" i="55"/>
  <c r="A13" i="55" s="1"/>
  <c r="D34" i="2"/>
  <c r="E33" i="2"/>
  <c r="I30" i="2" l="1"/>
  <c r="B11" i="53"/>
  <c r="A11" i="53" s="1"/>
  <c r="G32" i="2"/>
  <c r="B7" i="51"/>
  <c r="A7" i="51" s="1"/>
  <c r="J29" i="2"/>
  <c r="B13" i="54"/>
  <c r="A13" i="54" s="1"/>
  <c r="F33" i="2"/>
  <c r="B6" i="49"/>
  <c r="A6" i="49" s="1"/>
  <c r="B15" i="55"/>
  <c r="A15" i="55" s="1"/>
  <c r="X1" i="55"/>
  <c r="W1" i="55"/>
  <c r="B3" i="48"/>
  <c r="A3" i="48" s="1"/>
  <c r="V1" i="48"/>
  <c r="H31" i="2"/>
  <c r="B9" i="52"/>
  <c r="A9" i="52" s="1"/>
  <c r="D35" i="2"/>
  <c r="E34" i="2"/>
  <c r="Y1" i="55" l="1"/>
  <c r="H32" i="2"/>
  <c r="B9" i="51"/>
  <c r="A9" i="51" s="1"/>
  <c r="G33" i="2"/>
  <c r="B11" i="49"/>
  <c r="A11" i="49" s="1"/>
  <c r="B15" i="54"/>
  <c r="A15" i="54" s="1"/>
  <c r="W1" i="54"/>
  <c r="X1" i="54"/>
  <c r="Y1" i="54" s="1"/>
  <c r="F34" i="2"/>
  <c r="B5" i="48"/>
  <c r="A5" i="48" s="1"/>
  <c r="I31" i="2"/>
  <c r="B11" i="52"/>
  <c r="A11" i="52" s="1"/>
  <c r="B3" i="47"/>
  <c r="A3" i="47" s="1"/>
  <c r="V1" i="47"/>
  <c r="J30" i="2"/>
  <c r="B13" i="53"/>
  <c r="A13" i="53" s="1"/>
  <c r="D36" i="2"/>
  <c r="E35" i="2"/>
  <c r="G34" i="2" l="1"/>
  <c r="B7" i="48"/>
  <c r="A7" i="48" s="1"/>
  <c r="H33" i="2"/>
  <c r="B13" i="49"/>
  <c r="A13" i="49" s="1"/>
  <c r="J31" i="2"/>
  <c r="B13" i="52"/>
  <c r="A13" i="52" s="1"/>
  <c r="F35" i="2"/>
  <c r="B5" i="47"/>
  <c r="A5" i="47" s="1"/>
  <c r="B15" i="53"/>
  <c r="A15" i="53" s="1"/>
  <c r="X1" i="53"/>
  <c r="W1" i="53"/>
  <c r="B3" i="46"/>
  <c r="A3" i="46" s="1"/>
  <c r="V1" i="46"/>
  <c r="I32" i="2"/>
  <c r="B11" i="51"/>
  <c r="A11" i="51" s="1"/>
  <c r="D37" i="2"/>
  <c r="E36" i="2"/>
  <c r="Y1" i="53" l="1"/>
  <c r="B15" i="52"/>
  <c r="A15" i="52" s="1"/>
  <c r="X1" i="52"/>
  <c r="W1" i="52"/>
  <c r="G35" i="2"/>
  <c r="B8" i="47"/>
  <c r="A8" i="47" s="1"/>
  <c r="F36" i="2"/>
  <c r="B5" i="46"/>
  <c r="A5" i="46" s="1"/>
  <c r="J32" i="2"/>
  <c r="B13" i="51"/>
  <c r="A13" i="51" s="1"/>
  <c r="I33" i="2"/>
  <c r="B15" i="49"/>
  <c r="A15" i="49" s="1"/>
  <c r="B3" i="45"/>
  <c r="A3" i="45" s="1"/>
  <c r="V1" i="45"/>
  <c r="H34" i="2"/>
  <c r="B9" i="48"/>
  <c r="A9" i="48" s="1"/>
  <c r="D38" i="2"/>
  <c r="E37" i="2"/>
  <c r="Y1" i="52" l="1"/>
  <c r="B15" i="51"/>
  <c r="A15" i="51" s="1"/>
  <c r="X1" i="51"/>
  <c r="W1" i="51"/>
  <c r="J33" i="2"/>
  <c r="B17" i="49"/>
  <c r="A17" i="49" s="1"/>
  <c r="G36" i="2"/>
  <c r="B8" i="46"/>
  <c r="A8" i="46" s="1"/>
  <c r="F37" i="2"/>
  <c r="B5" i="45"/>
  <c r="A5" i="45" s="1"/>
  <c r="I34" i="2"/>
  <c r="B11" i="48"/>
  <c r="A11" i="48" s="1"/>
  <c r="B3" i="44"/>
  <c r="A3" i="44" s="1"/>
  <c r="V1" i="44"/>
  <c r="H35" i="2"/>
  <c r="B10" i="47"/>
  <c r="A10" i="47" s="1"/>
  <c r="D39" i="2"/>
  <c r="E38" i="2"/>
  <c r="Y1" i="51" l="1"/>
  <c r="J34" i="2"/>
  <c r="B13" i="48"/>
  <c r="A13" i="48" s="1"/>
  <c r="G37" i="2"/>
  <c r="B9" i="45"/>
  <c r="A9" i="45" s="1"/>
  <c r="F38" i="2"/>
  <c r="B5" i="44"/>
  <c r="A5" i="44" s="1"/>
  <c r="H36" i="2"/>
  <c r="B10" i="46"/>
  <c r="A10" i="46" s="1"/>
  <c r="I35" i="2"/>
  <c r="B12" i="47"/>
  <c r="A12" i="47" s="1"/>
  <c r="B3" i="43"/>
  <c r="A3" i="43" s="1"/>
  <c r="V1" i="43"/>
  <c r="B19" i="49"/>
  <c r="A19" i="49" s="1"/>
  <c r="X1" i="49"/>
  <c r="W1" i="49"/>
  <c r="D40" i="2"/>
  <c r="E39" i="2"/>
  <c r="Y1" i="49" l="1"/>
  <c r="H37" i="2"/>
  <c r="B13" i="45"/>
  <c r="A13" i="45" s="1"/>
  <c r="G38" i="2"/>
  <c r="B10" i="44"/>
  <c r="A10" i="44" s="1"/>
  <c r="I36" i="2"/>
  <c r="B13" i="46"/>
  <c r="A13" i="46" s="1"/>
  <c r="J35" i="2"/>
  <c r="B14" i="47"/>
  <c r="A14" i="47" s="1"/>
  <c r="F39" i="2"/>
  <c r="B6" i="43"/>
  <c r="A6" i="43" s="1"/>
  <c r="B3" i="42"/>
  <c r="A3" i="42" s="1"/>
  <c r="V1" i="42"/>
  <c r="B15" i="48"/>
  <c r="A15" i="48" s="1"/>
  <c r="W1" i="48"/>
  <c r="X1" i="48"/>
  <c r="D41" i="2"/>
  <c r="E40" i="2"/>
  <c r="H38" i="2" l="1"/>
  <c r="B16" i="44"/>
  <c r="A16" i="44" s="1"/>
  <c r="J36" i="2"/>
  <c r="B15" i="46"/>
  <c r="A15" i="46" s="1"/>
  <c r="G39" i="2"/>
  <c r="B12" i="43"/>
  <c r="A12" i="43" s="1"/>
  <c r="F40" i="2"/>
  <c r="B6" i="42"/>
  <c r="A6" i="42" s="1"/>
  <c r="Y1" i="48"/>
  <c r="B16" i="47"/>
  <c r="A16" i="47" s="1"/>
  <c r="X1" i="47"/>
  <c r="W1" i="47"/>
  <c r="B3" i="41"/>
  <c r="A3" i="41" s="1"/>
  <c r="V1" i="41"/>
  <c r="I37" i="2"/>
  <c r="B16" i="45"/>
  <c r="A16" i="45" s="1"/>
  <c r="D42" i="2"/>
  <c r="E41" i="2"/>
  <c r="J37" i="2" l="1"/>
  <c r="B18" i="45"/>
  <c r="A18" i="45" s="1"/>
  <c r="B17" i="46"/>
  <c r="A17" i="46" s="1"/>
  <c r="X1" i="46"/>
  <c r="W1" i="46"/>
  <c r="H39" i="2"/>
  <c r="B19" i="43"/>
  <c r="A19" i="43" s="1"/>
  <c r="G40" i="2"/>
  <c r="B13" i="42"/>
  <c r="A13" i="42" s="1"/>
  <c r="Y1" i="47"/>
  <c r="F41" i="2"/>
  <c r="B6" i="41"/>
  <c r="A6" i="41" s="1"/>
  <c r="B3" i="40"/>
  <c r="A3" i="40" s="1"/>
  <c r="V1" i="40"/>
  <c r="I38" i="2"/>
  <c r="B21" i="44"/>
  <c r="A21" i="44" s="1"/>
  <c r="D43" i="2"/>
  <c r="E42" i="2"/>
  <c r="Y1" i="46" l="1"/>
  <c r="B20" i="45"/>
  <c r="A20" i="45" s="1"/>
  <c r="W1" i="45"/>
  <c r="X1" i="45"/>
  <c r="I39" i="2"/>
  <c r="B25" i="43"/>
  <c r="A25" i="43" s="1"/>
  <c r="G41" i="2"/>
  <c r="B13" i="41"/>
  <c r="A13" i="41" s="1"/>
  <c r="H40" i="2"/>
  <c r="B21" i="42"/>
  <c r="A21" i="42" s="1"/>
  <c r="F42" i="2"/>
  <c r="B7" i="40"/>
  <c r="A7" i="40" s="1"/>
  <c r="J38" i="2"/>
  <c r="B26" i="44"/>
  <c r="A26" i="44" s="1"/>
  <c r="B3" i="39"/>
  <c r="A3" i="39" s="1"/>
  <c r="V1" i="39"/>
  <c r="D44" i="2"/>
  <c r="E43" i="2"/>
  <c r="Y1" i="45" l="1"/>
  <c r="J39" i="2"/>
  <c r="B31" i="43"/>
  <c r="A31" i="43" s="1"/>
  <c r="I40" i="2"/>
  <c r="B27" i="42"/>
  <c r="A27" i="42" s="1"/>
  <c r="B3" i="38"/>
  <c r="A3" i="38" s="1"/>
  <c r="V1" i="38"/>
  <c r="G42" i="2"/>
  <c r="B13" i="40"/>
  <c r="A13" i="40" s="1"/>
  <c r="H41" i="2"/>
  <c r="B21" i="41"/>
  <c r="A21" i="41" s="1"/>
  <c r="B28" i="44"/>
  <c r="A28" i="44" s="1"/>
  <c r="X1" i="44"/>
  <c r="W1" i="44"/>
  <c r="F43" i="2"/>
  <c r="B6" i="39"/>
  <c r="A6" i="39" s="1"/>
  <c r="D45" i="2"/>
  <c r="E44" i="2"/>
  <c r="J40" i="2" l="1"/>
  <c r="B33" i="42"/>
  <c r="A33" i="42" s="1"/>
  <c r="H42" i="2"/>
  <c r="B19" i="40"/>
  <c r="A19" i="40" s="1"/>
  <c r="I41" i="2"/>
  <c r="B27" i="41"/>
  <c r="A27" i="41" s="1"/>
  <c r="F44" i="2"/>
  <c r="B6" i="38"/>
  <c r="A6" i="38" s="1"/>
  <c r="G43" i="2"/>
  <c r="B12" i="39"/>
  <c r="A12" i="39" s="1"/>
  <c r="Y1" i="44"/>
  <c r="B3" i="37"/>
  <c r="A3" i="37" s="1"/>
  <c r="V1" i="37"/>
  <c r="B33" i="43"/>
  <c r="A33" i="43" s="1"/>
  <c r="X1" i="43"/>
  <c r="W1" i="43"/>
  <c r="D46" i="2"/>
  <c r="E45" i="2"/>
  <c r="Y1" i="43" l="1"/>
  <c r="I42" i="2"/>
  <c r="B25" i="40"/>
  <c r="A25" i="40" s="1"/>
  <c r="J41" i="2"/>
  <c r="B34" i="41"/>
  <c r="A34" i="41" s="1"/>
  <c r="G44" i="2"/>
  <c r="B12" i="38"/>
  <c r="A12" i="38" s="1"/>
  <c r="F45" i="2"/>
  <c r="B5" i="37"/>
  <c r="A5" i="37" s="1"/>
  <c r="H43" i="2"/>
  <c r="B18" i="39"/>
  <c r="A18" i="39" s="1"/>
  <c r="B3" i="36"/>
  <c r="A3" i="36" s="1"/>
  <c r="V1" i="36"/>
  <c r="B35" i="42"/>
  <c r="A35" i="42" s="1"/>
  <c r="X1" i="42"/>
  <c r="W1" i="42"/>
  <c r="D47" i="2"/>
  <c r="E46" i="2"/>
  <c r="Y1" i="42" l="1"/>
  <c r="B36" i="41"/>
  <c r="A36" i="41" s="1"/>
  <c r="X1" i="41"/>
  <c r="W1" i="41"/>
  <c r="H44" i="2"/>
  <c r="B18" i="38"/>
  <c r="A18" i="38" s="1"/>
  <c r="G45" i="2"/>
  <c r="B10" i="37"/>
  <c r="A10" i="37" s="1"/>
  <c r="I43" i="2"/>
  <c r="B24" i="39"/>
  <c r="A24" i="39" s="1"/>
  <c r="F46" i="2"/>
  <c r="B6" i="36"/>
  <c r="A6" i="36" s="1"/>
  <c r="B3" i="35"/>
  <c r="A3" i="35" s="1"/>
  <c r="V1" i="35"/>
  <c r="J42" i="2"/>
  <c r="B31" i="40"/>
  <c r="A31" i="40" s="1"/>
  <c r="D48" i="2"/>
  <c r="E47" i="2"/>
  <c r="Y1" i="41" l="1"/>
  <c r="H45" i="2"/>
  <c r="B16" i="37"/>
  <c r="A16" i="37" s="1"/>
  <c r="G46" i="2"/>
  <c r="B12" i="36"/>
  <c r="A12" i="36" s="1"/>
  <c r="F47" i="2"/>
  <c r="B5" i="35"/>
  <c r="A5" i="35" s="1"/>
  <c r="B33" i="40"/>
  <c r="A33" i="40" s="1"/>
  <c r="W1" i="40"/>
  <c r="X1" i="40"/>
  <c r="Y1" i="40" s="1"/>
  <c r="J43" i="2"/>
  <c r="B30" i="39"/>
  <c r="A30" i="39" s="1"/>
  <c r="B3" i="34"/>
  <c r="A3" i="34" s="1"/>
  <c r="V1" i="34"/>
  <c r="I44" i="2"/>
  <c r="B24" i="38"/>
  <c r="A24" i="38" s="1"/>
  <c r="D49" i="2"/>
  <c r="E48" i="2"/>
  <c r="H46" i="2" l="1"/>
  <c r="B19" i="36"/>
  <c r="A19" i="36" s="1"/>
  <c r="B32" i="39"/>
  <c r="A32" i="39" s="1"/>
  <c r="W1" i="39"/>
  <c r="X1" i="39"/>
  <c r="Y1" i="39" s="1"/>
  <c r="G47" i="2"/>
  <c r="B10" i="35"/>
  <c r="A10" i="35" s="1"/>
  <c r="F48" i="2"/>
  <c r="B5" i="34"/>
  <c r="A5" i="34" s="1"/>
  <c r="J44" i="2"/>
  <c r="B30" i="38"/>
  <c r="A30" i="38" s="1"/>
  <c r="B3" i="33"/>
  <c r="A3" i="33" s="1"/>
  <c r="V1" i="33"/>
  <c r="I45" i="2"/>
  <c r="B21" i="37"/>
  <c r="A21" i="37" s="1"/>
  <c r="D50" i="2"/>
  <c r="E49" i="2"/>
  <c r="H47" i="2" l="1"/>
  <c r="B16" i="35"/>
  <c r="A16" i="35" s="1"/>
  <c r="G48" i="2"/>
  <c r="B10" i="34"/>
  <c r="A10" i="34" s="1"/>
  <c r="B32" i="38"/>
  <c r="A32" i="38" s="1"/>
  <c r="X1" i="38"/>
  <c r="W1" i="38"/>
  <c r="B3" i="32"/>
  <c r="A3" i="32" s="1"/>
  <c r="V1" i="32"/>
  <c r="F49" i="2"/>
  <c r="B5" i="33"/>
  <c r="A5" i="33" s="1"/>
  <c r="J45" i="2"/>
  <c r="B26" i="37"/>
  <c r="A26" i="37" s="1"/>
  <c r="I46" i="2"/>
  <c r="B24" i="36"/>
  <c r="A24" i="36" s="1"/>
  <c r="D51" i="2"/>
  <c r="E50" i="2"/>
  <c r="Y1" i="38" l="1"/>
  <c r="H48" i="2"/>
  <c r="B16" i="34"/>
  <c r="A16" i="34" s="1"/>
  <c r="G49" i="2"/>
  <c r="B10" i="33"/>
  <c r="A10" i="33" s="1"/>
  <c r="B28" i="37"/>
  <c r="A28" i="37" s="1"/>
  <c r="W1" i="37"/>
  <c r="X1" i="37"/>
  <c r="Y1" i="37" s="1"/>
  <c r="F50" i="2"/>
  <c r="B5" i="32"/>
  <c r="A5" i="32" s="1"/>
  <c r="J46" i="2"/>
  <c r="B29" i="36"/>
  <c r="A29" i="36" s="1"/>
  <c r="B3" i="31"/>
  <c r="A3" i="31" s="1"/>
  <c r="V1" i="31"/>
  <c r="I47" i="2"/>
  <c r="B21" i="35"/>
  <c r="A21" i="35" s="1"/>
  <c r="D52" i="2"/>
  <c r="E51" i="2"/>
  <c r="H49" i="2" l="1"/>
  <c r="B16" i="33"/>
  <c r="A16" i="33" s="1"/>
  <c r="B32" i="36"/>
  <c r="A32" i="36" s="1"/>
  <c r="X1" i="36"/>
  <c r="W1" i="36"/>
  <c r="J47" i="2"/>
  <c r="B26" i="35"/>
  <c r="A26" i="35" s="1"/>
  <c r="G50" i="2"/>
  <c r="B10" i="32"/>
  <c r="A10" i="32" s="1"/>
  <c r="F51" i="2"/>
  <c r="B5" i="31"/>
  <c r="A5" i="31" s="1"/>
  <c r="B3" i="29"/>
  <c r="A3" i="29" s="1"/>
  <c r="V1" i="29"/>
  <c r="I48" i="2"/>
  <c r="B21" i="34"/>
  <c r="A21" i="34" s="1"/>
  <c r="D53" i="2"/>
  <c r="E52" i="2"/>
  <c r="B28" i="35" l="1"/>
  <c r="A28" i="35" s="1"/>
  <c r="X1" i="35"/>
  <c r="W1" i="35"/>
  <c r="B3" i="30"/>
  <c r="A3" i="30" s="1"/>
  <c r="V1" i="30"/>
  <c r="H50" i="2"/>
  <c r="B16" i="32"/>
  <c r="A16" i="32" s="1"/>
  <c r="G51" i="2"/>
  <c r="B10" i="31"/>
  <c r="A10" i="31" s="1"/>
  <c r="Y1" i="36"/>
  <c r="F52" i="2"/>
  <c r="B5" i="29"/>
  <c r="A5" i="29" s="1"/>
  <c r="J48" i="2"/>
  <c r="B26" i="34"/>
  <c r="A26" i="34" s="1"/>
  <c r="I49" i="2"/>
  <c r="B21" i="33"/>
  <c r="A21" i="33" s="1"/>
  <c r="D54" i="2"/>
  <c r="E53" i="2"/>
  <c r="Y1" i="35" l="1"/>
  <c r="I50" i="2"/>
  <c r="B21" i="32"/>
  <c r="A21" i="32" s="1"/>
  <c r="G52" i="2"/>
  <c r="B10" i="29"/>
  <c r="A10" i="29" s="1"/>
  <c r="H51" i="2"/>
  <c r="B16" i="31"/>
  <c r="A16" i="31" s="1"/>
  <c r="B28" i="34"/>
  <c r="A28" i="34" s="1"/>
  <c r="X1" i="34"/>
  <c r="W1" i="34"/>
  <c r="F53" i="2"/>
  <c r="B5" i="30"/>
  <c r="A5" i="30" s="1"/>
  <c r="J49" i="2"/>
  <c r="B26" i="33"/>
  <c r="A26" i="33" s="1"/>
  <c r="E54" i="2"/>
  <c r="B3" i="50"/>
  <c r="A3" i="50" s="1"/>
  <c r="V1" i="50"/>
  <c r="Y1" i="34" l="1"/>
  <c r="H52" i="2"/>
  <c r="B16" i="29"/>
  <c r="A16" i="29" s="1"/>
  <c r="I51" i="2"/>
  <c r="B21" i="31"/>
  <c r="A21" i="31" s="1"/>
  <c r="G53" i="2"/>
  <c r="B7" i="30"/>
  <c r="A7" i="30" s="1"/>
  <c r="B28" i="33"/>
  <c r="A28" i="33" s="1"/>
  <c r="X1" i="33"/>
  <c r="W1" i="33"/>
  <c r="F54" i="2"/>
  <c r="B5" i="50"/>
  <c r="A5" i="50" s="1"/>
  <c r="J50" i="2"/>
  <c r="B26" i="32"/>
  <c r="A26" i="32" s="1"/>
  <c r="Y1" i="33" l="1"/>
  <c r="J51" i="2"/>
  <c r="B26" i="31"/>
  <c r="A26" i="31" s="1"/>
  <c r="H53" i="2"/>
  <c r="B9" i="30"/>
  <c r="A9" i="30" s="1"/>
  <c r="G54" i="2"/>
  <c r="B7" i="50"/>
  <c r="A7" i="50" s="1"/>
  <c r="B28" i="32"/>
  <c r="A28" i="32" s="1"/>
  <c r="W1" i="32"/>
  <c r="X1" i="32"/>
  <c r="Y1" i="32" s="1"/>
  <c r="I52" i="2"/>
  <c r="B21" i="29"/>
  <c r="A21" i="29" s="1"/>
  <c r="I53" i="2" l="1"/>
  <c r="B11" i="30"/>
  <c r="A11" i="30" s="1"/>
  <c r="J52" i="2"/>
  <c r="B26" i="29"/>
  <c r="A26" i="29" s="1"/>
  <c r="H54" i="2"/>
  <c r="B9" i="50"/>
  <c r="A9" i="50" s="1"/>
  <c r="B28" i="31"/>
  <c r="A28" i="31" s="1"/>
  <c r="W1" i="31"/>
  <c r="X1" i="31"/>
  <c r="Y1" i="31" l="1"/>
  <c r="B28" i="29"/>
  <c r="A28" i="29" s="1"/>
  <c r="X1" i="29"/>
  <c r="W1" i="29"/>
  <c r="I54" i="2"/>
  <c r="B11" i="50"/>
  <c r="A11" i="50" s="1"/>
  <c r="J53" i="2"/>
  <c r="B13" i="30"/>
  <c r="A13" i="30" s="1"/>
  <c r="Y1" i="29" l="1"/>
  <c r="J54" i="2"/>
  <c r="B13" i="50"/>
  <c r="A13" i="50" s="1"/>
  <c r="B15" i="30"/>
  <c r="A15" i="30" s="1"/>
  <c r="X1" i="30"/>
  <c r="W1" i="30"/>
  <c r="Y1" i="30" l="1"/>
  <c r="X1" i="50"/>
  <c r="B15" i="50"/>
  <c r="A15" i="50" s="1"/>
  <c r="W1" i="50"/>
  <c r="Y1" i="5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tc={D20C3F57-4202-44AA-B8AB-CF5BBA325A9D}</author>
  </authors>
  <commentList>
    <comment ref="B53" authorId="0" shapeId="0" xr:uid="{D20C3F57-4202-44AA-B8AB-CF5BBA325A9D}">
      <text>
        <t>[Trådad kommentar]
I din version av Excel kan du läsa den här trådade kommentaren, men eventuella ändringar i den tas bort om filen öppnas i en senare version av Excel. Läs mer: https://go.microsoft.com/fwlink/?linkid=870924
Kommentar:
    Vid framtida bokningsförfrågningar kommer Johan förmodligen ange felaktig adress då detta skett flertalet gånger. Så byt inte till :Stadsmissionens skolstiftelse, Box 47073, 100 74 Stockholm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<sst xmlns="http://schemas.openxmlformats.org/spreadsheetml/2006/main" count="6576" uniqueCount="969">
  <si>
    <t>DAG</t>
  </si>
  <si>
    <t>DATUM</t>
  </si>
  <si>
    <t>TID</t>
  </si>
  <si>
    <t>ANTAL</t>
  </si>
  <si>
    <t>GRUPP/LAG/SKOLA/ETC.</t>
  </si>
  <si>
    <t>ÖVRIGT</t>
  </si>
  <si>
    <t>BOKNING MOTTAGEN</t>
  </si>
  <si>
    <t>KONTAKT</t>
  </si>
  <si>
    <t>TEL. KONTAKTPERSON</t>
  </si>
  <si>
    <t>E-POST, KONTAKTPERSON</t>
  </si>
  <si>
    <t>FAKTURERINGSADRESS</t>
  </si>
  <si>
    <t>MEJLFAKTURERING</t>
  </si>
  <si>
    <t>REFERENS</t>
  </si>
  <si>
    <t>ORGANISATIONSNUMMER</t>
  </si>
  <si>
    <t>PEPPOL-ID</t>
  </si>
  <si>
    <t>GLN-NUMMER</t>
  </si>
  <si>
    <t>Priser för Boule och mattcurling</t>
  </si>
  <si>
    <t>/påbörjad h</t>
  </si>
  <si>
    <t>Datum</t>
  </si>
  <si>
    <t>Namn</t>
  </si>
  <si>
    <t>Grupp</t>
  </si>
  <si>
    <t>Aktivitet/vara</t>
  </si>
  <si>
    <t>Kassakod</t>
  </si>
  <si>
    <t>Pris/st</t>
  </si>
  <si>
    <t>Varav faktureras</t>
  </si>
  <si>
    <t>Betalas på plats</t>
  </si>
  <si>
    <t>/tillfälle</t>
  </si>
  <si>
    <t>Nyårsdagen</t>
  </si>
  <si>
    <t>Boulelaget</t>
  </si>
  <si>
    <t>Boule</t>
  </si>
  <si>
    <t>VG03</t>
  </si>
  <si>
    <t>/pers/påbörjad h</t>
  </si>
  <si>
    <t>Trettondedag jul</t>
  </si>
  <si>
    <t>Coop</t>
  </si>
  <si>
    <t>/pers</t>
  </si>
  <si>
    <t>Långfredagen</t>
  </si>
  <si>
    <t>Gäster</t>
  </si>
  <si>
    <t>/instruktör</t>
  </si>
  <si>
    <t>Påskdagen</t>
  </si>
  <si>
    <t>Mattcurling</t>
  </si>
  <si>
    <t>VG07</t>
  </si>
  <si>
    <t>/instruktör/påbörjad h</t>
  </si>
  <si>
    <t>Annandag påsk</t>
  </si>
  <si>
    <t>Hamre</t>
  </si>
  <si>
    <t>/st</t>
  </si>
  <si>
    <t>Första maj</t>
  </si>
  <si>
    <t>Kolarhagen</t>
  </si>
  <si>
    <t>/bord</t>
  </si>
  <si>
    <t>Kristi himmelfärdsdag</t>
  </si>
  <si>
    <t>Kungsåra/Malmaberg</t>
  </si>
  <si>
    <t>/påbörjad h (hall &amp; instruktör)</t>
  </si>
  <si>
    <t>Sveriges nationaldag</t>
  </si>
  <si>
    <t>Pensionär</t>
  </si>
  <si>
    <t>Kaffe</t>
  </si>
  <si>
    <t>VG01</t>
  </si>
  <si>
    <t>Pingstdagen</t>
  </si>
  <si>
    <t>Góbit</t>
  </si>
  <si>
    <t>11</t>
  </si>
  <si>
    <t>Midsommardagen</t>
  </si>
  <si>
    <t>Smörgås</t>
  </si>
  <si>
    <t>12</t>
  </si>
  <si>
    <t>Alla helgons dag</t>
  </si>
  <si>
    <t>Rudbeckius</t>
  </si>
  <si>
    <t>13</t>
  </si>
  <si>
    <t>Juldagen</t>
  </si>
  <si>
    <t>Skiljebo</t>
  </si>
  <si>
    <t>14</t>
  </si>
  <si>
    <t>Annandag jul</t>
  </si>
  <si>
    <t>Tidö-Lindö</t>
  </si>
  <si>
    <t>15</t>
  </si>
  <si>
    <t>Midsommarafton</t>
  </si>
  <si>
    <t>Viksäng</t>
  </si>
  <si>
    <t>16</t>
  </si>
  <si>
    <t>Julafton</t>
  </si>
  <si>
    <t>Västerås Kommun</t>
  </si>
  <si>
    <t>17</t>
  </si>
  <si>
    <t>Västeråspolisen</t>
  </si>
  <si>
    <t>18</t>
  </si>
  <si>
    <t>x</t>
  </si>
  <si>
    <t>Träning</t>
  </si>
  <si>
    <t>VG02</t>
  </si>
  <si>
    <t>19</t>
  </si>
  <si>
    <t>Önsta gryta</t>
  </si>
  <si>
    <t>20</t>
  </si>
  <si>
    <t>21</t>
  </si>
  <si>
    <t>Byhléns gäng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</si>
  <si>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</si>
  <si>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</si>
  <si>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</si>
  <si>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</si>
  <si>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</si>
  <si>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</si>
  <si>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</si>
  <si>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</si>
  <si>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</si>
  <si>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5-10</t>
  </si>
  <si>
    <t>10-15</t>
  </si>
  <si>
    <t>15-20</t>
  </si>
  <si>
    <t>20-25</t>
  </si>
  <si>
    <t>21-30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</si>
  <si>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</si>
  <si>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</si>
  <si>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</si>
  <si>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</si>
  <si>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</si>
  <si>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</si>
  <si>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</si>
  <si>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</si>
  <si>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</si>
  <si>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</si>
  <si>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</si>
  <si>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</si>
  <si>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</si>
  <si>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</si>
  <si>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</si>
  <si>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100-120</t>
  </si>
  <si>
    <t>120-140</t>
  </si>
  <si>
    <t>140-160</t>
  </si>
  <si>
    <t>160-180</t>
  </si>
  <si>
    <t>180-200</t>
  </si>
  <si>
    <t>200-250</t>
  </si>
  <si>
    <t>250-300</t>
  </si>
  <si>
    <t>300-350</t>
  </si>
  <si>
    <t>350-400</t>
  </si>
  <si>
    <t>400-450</t>
  </si>
  <si>
    <t>450-500</t>
  </si>
  <si>
    <t>500-550</t>
  </si>
  <si>
    <t>550-600</t>
  </si>
  <si>
    <t>Hela hallen</t>
  </si>
  <si>
    <t>Faktureras ej</t>
  </si>
  <si>
    <t>500:- + 750:-</t>
  </si>
  <si>
    <t>650:- + 750:-</t>
  </si>
  <si>
    <t>850:- + 750:-</t>
  </si>
  <si>
    <t>900:- + 750:-</t>
  </si>
  <si>
    <t>1 250:- + 750:-</t>
  </si>
  <si>
    <t>1 500:- + 750:-</t>
  </si>
  <si>
    <t>1 750:- + 750:-</t>
  </si>
  <si>
    <t>Måndag</t>
  </si>
  <si>
    <t>Tisdag</t>
  </si>
  <si>
    <t>Onsdag</t>
  </si>
  <si>
    <t>Torsdag</t>
  </si>
  <si>
    <t>Fredag</t>
  </si>
  <si>
    <t>Lördag</t>
  </si>
  <si>
    <t>Söndag</t>
  </si>
  <si>
    <t>Vecka</t>
  </si>
  <si>
    <t>-</t>
  </si>
  <si>
    <t>16/17:4</t>
  </si>
  <si>
    <t>Hanna Häggström</t>
  </si>
  <si>
    <t>ABB</t>
  </si>
  <si>
    <t>ABB AB Crane Systems, Fe 6210, SE-83984 Östersund</t>
  </si>
  <si>
    <t>lars-owe.mellberg@se.abb.com</t>
  </si>
  <si>
    <t>Lars-Owe Mellberg</t>
  </si>
  <si>
    <t>Loa Mellberg</t>
  </si>
  <si>
    <t>Apalbyskolan</t>
  </si>
  <si>
    <t>Apalbyskolan, Västerås stad, Box 1150, Bävergatan 1, 721 29 Västerås</t>
  </si>
  <si>
    <t>BG350</t>
  </si>
  <si>
    <t>Ingela Gran Farkhooi</t>
  </si>
  <si>
    <t>0733423824</t>
  </si>
  <si>
    <t>ingela.gran.farkhooi@vasteras.se</t>
  </si>
  <si>
    <t>Barnkalas</t>
  </si>
  <si>
    <t>Barnkalas, Alexander S.</t>
  </si>
  <si>
    <t>Alexander Selin</t>
  </si>
  <si>
    <t>070-450 52 17</t>
  </si>
  <si>
    <t>at.selin@gmail.com</t>
  </si>
  <si>
    <t>Barnkalas, Anders O.</t>
  </si>
  <si>
    <t>Anders Olby</t>
  </si>
  <si>
    <t>073-525 56 31</t>
  </si>
  <si>
    <t>Anders.olby@outlook.com</t>
  </si>
  <si>
    <t>Barnkalas, Elin J.</t>
  </si>
  <si>
    <t>Tränare</t>
  </si>
  <si>
    <t>Elin Jernehed</t>
  </si>
  <si>
    <t>070-439 17 84</t>
  </si>
  <si>
    <t>elinjernehed@gmail.com</t>
  </si>
  <si>
    <t>Barnkalas, Emeli Fahlen</t>
  </si>
  <si>
    <t>Emeli Fahlen</t>
  </si>
  <si>
    <t>073-045 44 74</t>
  </si>
  <si>
    <t>emeli.fahlen@hotmail.com</t>
  </si>
  <si>
    <t>Barnkalas, Hanna N.</t>
  </si>
  <si>
    <t>Hanna Nohlert, Tränare</t>
  </si>
  <si>
    <t>Hanna Nohlert</t>
  </si>
  <si>
    <t>0702001347</t>
  </si>
  <si>
    <t>hanna.nohlert@gmail.com</t>
  </si>
  <si>
    <t>Barnkalas, Joanna A.</t>
  </si>
  <si>
    <t>Ragnaröksgatan 23, 72355 Västerås</t>
  </si>
  <si>
    <t>Joanna Anklev</t>
  </si>
  <si>
    <t>073- 9754796</t>
  </si>
  <si>
    <t>Yoanna48@msn.com</t>
  </si>
  <si>
    <t>Barnkalas, Kristina Lind</t>
  </si>
  <si>
    <t>Andrej Lind, Tränare</t>
  </si>
  <si>
    <t>Kristina Lind</t>
  </si>
  <si>
    <t>0702207998</t>
  </si>
  <si>
    <t>kristina.granstrom@hotmail.com</t>
  </si>
  <si>
    <t>Barnkalas, Linus Lindgren</t>
  </si>
  <si>
    <t>Linus Lindgren</t>
  </si>
  <si>
    <t>0761177390</t>
  </si>
  <si>
    <t>linuslindgren@hotmail.com</t>
  </si>
  <si>
    <t>Barnkalas, Mattias Hertz</t>
  </si>
  <si>
    <t>Mattias Hertz</t>
  </si>
  <si>
    <t>070-448 89 45</t>
  </si>
  <si>
    <t>mattias_hertz@hotmail.com</t>
  </si>
  <si>
    <t>Barnkalas, Renée M.</t>
  </si>
  <si>
    <t>Renée Månsson</t>
  </si>
  <si>
    <t>070-287 81 56</t>
  </si>
  <si>
    <t>ren.mansson@gmail.com</t>
  </si>
  <si>
    <t>Barnkalas, Therese F.</t>
  </si>
  <si>
    <t>Lovisa Forslund, Kungsängsgatan 17A, 722 10 Västerås</t>
  </si>
  <si>
    <t>lofo0708@hotmail.com</t>
  </si>
  <si>
    <t>Therese Forslund</t>
  </si>
  <si>
    <t>Thereseforslund@live.se</t>
  </si>
  <si>
    <t>BK 30 Herr</t>
  </si>
  <si>
    <t>Bangatan 8, 722 28 Västerås</t>
  </si>
  <si>
    <t>Robert.Pettersson@adaptab.se</t>
  </si>
  <si>
    <t>Robert Pettersson</t>
  </si>
  <si>
    <t xml:space="preserve">073-917 00 01 </t>
  </si>
  <si>
    <t>BK30 dam</t>
  </si>
  <si>
    <t>info@bbrosfit.se</t>
  </si>
  <si>
    <t>Sebastian Eriksson</t>
  </si>
  <si>
    <t>BK30 dam/Myphysio</t>
  </si>
  <si>
    <t xml:space="preserve">faktura@bk30.se </t>
  </si>
  <si>
    <t>Anna Romeling</t>
  </si>
  <si>
    <t>0762468333</t>
  </si>
  <si>
    <t>anna@bbrosfit.se</t>
  </si>
  <si>
    <t>Boule, Strandman</t>
  </si>
  <si>
    <t>Strandman</t>
  </si>
  <si>
    <t>Brandthovdaskolan</t>
  </si>
  <si>
    <t>Pilbågsgatan 3-5, 723 51 Västerås</t>
  </si>
  <si>
    <t>BG060</t>
  </si>
  <si>
    <t>Jesper Degerlund</t>
  </si>
  <si>
    <t>0761709407</t>
  </si>
  <si>
    <t>jesper.degerlund@vasteras.se</t>
  </si>
  <si>
    <t>Byhléns boulegäng</t>
  </si>
  <si>
    <t>Bålsta IK</t>
  </si>
  <si>
    <t>styrelsen@balstaik.se</t>
  </si>
  <si>
    <t>Rikard Nilsson</t>
  </si>
  <si>
    <t>Bäckby fritidsklubb</t>
  </si>
  <si>
    <t>Västerås Stad, Box 1150, 721 29 Västerås</t>
  </si>
  <si>
    <t>J3201</t>
  </si>
  <si>
    <t>Nuri Akpinar</t>
  </si>
  <si>
    <t>0705488174</t>
  </si>
  <si>
    <t>nuri.akpinar@vasteras.se</t>
  </si>
  <si>
    <t>212000-2080</t>
  </si>
  <si>
    <t>Camilla Isgren</t>
  </si>
  <si>
    <t>Centuriaskolan, Malin H. B</t>
  </si>
  <si>
    <t>Loftbodsvägen 5, 724 80 Västerås</t>
  </si>
  <si>
    <t>nina.ericsson@centuriaskolan.se</t>
  </si>
  <si>
    <t>Malin Härnström Boman</t>
  </si>
  <si>
    <t>0702987050</t>
  </si>
  <si>
    <t>malin.harnstrom.boman@centuriaskolan.se</t>
  </si>
  <si>
    <t>Centuriaskolan, Thomas S.</t>
  </si>
  <si>
    <t>Thomas Sjögren</t>
  </si>
  <si>
    <t>0707509722</t>
  </si>
  <si>
    <t>thomas.sjogren@centuriaskolan.se</t>
  </si>
  <si>
    <t>Coop, boule</t>
  </si>
  <si>
    <t>Coop, c/o Elone Östlund, Ringduvegatan 127, 724 70 Västerås</t>
  </si>
  <si>
    <t>Cykelklubben</t>
  </si>
  <si>
    <t>Västerås Cykelklubb, Box 12047, 720 12 Västerås</t>
  </si>
  <si>
    <t>kassor@vasterasck.se</t>
  </si>
  <si>
    <t>Per Flyckt</t>
  </si>
  <si>
    <t>per.flyckt@gmail.com</t>
  </si>
  <si>
    <t>Econ Games Indoor</t>
  </si>
  <si>
    <t>Emausgruppen</t>
  </si>
  <si>
    <t>Västerås stad, BOX 1150, 721 29 VÄSTERÅS</t>
  </si>
  <si>
    <t>GB 207</t>
  </si>
  <si>
    <t>Marjan Bestjak</t>
  </si>
  <si>
    <t>021-390513</t>
  </si>
  <si>
    <t>marjan.bestjak@vasteras.se</t>
  </si>
  <si>
    <t>212 000-2080</t>
  </si>
  <si>
    <t>Emausskolan</t>
  </si>
  <si>
    <t>Västerås stad, Box 1150, 721 29 Västerås</t>
  </si>
  <si>
    <t>PC AJ 949</t>
  </si>
  <si>
    <t>Oskar Eriksson</t>
  </si>
  <si>
    <t>oskar.eriksson@vasteras.se</t>
  </si>
  <si>
    <t>Familjehemsenheten</t>
  </si>
  <si>
    <t>Västerås stad, Indivit- och familjenämnden, 721 87 Västerås</t>
  </si>
  <si>
    <t>IN235</t>
  </si>
  <si>
    <t>Ulrika Lindmark</t>
  </si>
  <si>
    <t>021-392209</t>
  </si>
  <si>
    <t>ulrika.lindmark@vasteras.se</t>
  </si>
  <si>
    <t>Fridnässkolan</t>
  </si>
  <si>
    <t>Post: Fridnäs, Västerås stad, Box 1150, 72129 Västerås</t>
  </si>
  <si>
    <t>BG 190 aa411</t>
  </si>
  <si>
    <t>Ida Leek</t>
  </si>
  <si>
    <t>0738166102</t>
  </si>
  <si>
    <t>ida.leek@vasteras.se</t>
  </si>
  <si>
    <t>Friidrott för barn (7-10 år) - Utb Södra Svealand</t>
  </si>
  <si>
    <t>kassor.sodrasvealand@friidrott.se</t>
  </si>
  <si>
    <t>Erica Lignell</t>
  </si>
  <si>
    <t>anna.bengtsson@friidrott.se</t>
  </si>
  <si>
    <t>Friidrott för barn (steg 2)</t>
  </si>
  <si>
    <t>Södra Svealands Friidrottsförbund, Eva Lisa Holtz Arena, Johan Banérs Väg 5, 653 48 Karlstad</t>
  </si>
  <si>
    <t>Madde Olsson</t>
  </si>
  <si>
    <t>madde.olsson@friidrott.se</t>
  </si>
  <si>
    <t>Friidrottskul med Maxi Hälla</t>
  </si>
  <si>
    <t>Föreningsfotografering</t>
  </si>
  <si>
    <t>Gideonsbergs IF Herrlag</t>
  </si>
  <si>
    <t>Kansli@gideonsbergsif.se</t>
  </si>
  <si>
    <t>Martin Jernehed</t>
  </si>
  <si>
    <t>0736123067</t>
  </si>
  <si>
    <t>martinjernehed@hotmail.com</t>
  </si>
  <si>
    <t>GIH, Gustaf</t>
  </si>
  <si>
    <t>Lina Nilsson</t>
  </si>
  <si>
    <t>0701038449</t>
  </si>
  <si>
    <t>lina.nilsson@gih.se</t>
  </si>
  <si>
    <t>Grillska gymnasiet, Johan A.</t>
  </si>
  <si>
    <t>Stadsmissionens skolstiftelse, Box 35, 131 06 Nacka</t>
  </si>
  <si>
    <t>inkfakturor@stadsmissionensskolstiftelse.se</t>
  </si>
  <si>
    <t>Johan Andersson</t>
  </si>
  <si>
    <t>0735456403</t>
  </si>
  <si>
    <t>johan.andersson@grillska.se</t>
  </si>
  <si>
    <t>802017-0794</t>
  </si>
  <si>
    <t>Grillska gymnasiet, Malin H. B.</t>
  </si>
  <si>
    <t>malin.harnstromboman@grillska.se</t>
  </si>
  <si>
    <t>Grillska gymnasiet, Melinda M.</t>
  </si>
  <si>
    <t>Grillska gymnasiet, Port-Anders Gata 3, 722 12 Västerås</t>
  </si>
  <si>
    <t>Melinda Midemalm</t>
  </si>
  <si>
    <t>0769102070</t>
  </si>
  <si>
    <t>melinda.ristomidemalm@grillska.se</t>
  </si>
  <si>
    <t>Grundskolan Äventyret</t>
  </si>
  <si>
    <t>inbox.lev.366038@arkivplats.se</t>
  </si>
  <si>
    <t>Maggan Ljungblad</t>
  </si>
  <si>
    <t>magganljungblad@hotmail.com</t>
  </si>
  <si>
    <t>Grundskolan Äventyret, Lisa S.</t>
  </si>
  <si>
    <t>Lisa Söderbäck</t>
  </si>
  <si>
    <t>0704875997</t>
  </si>
  <si>
    <t>lisa.soderback@aventyret.net</t>
  </si>
  <si>
    <t>Gäddeholmsskolan</t>
  </si>
  <si>
    <t>Mathias Andersson</t>
  </si>
  <si>
    <t>0736789641</t>
  </si>
  <si>
    <t>mathias2.andersson@vasteras.se</t>
  </si>
  <si>
    <t>Hahrska gymnasiet</t>
  </si>
  <si>
    <t>Hahrska gymnasiet, Västerås stad, Box 1150, 721 29 Västerås</t>
  </si>
  <si>
    <t>faktura@vasteras.se </t>
  </si>
  <si>
    <t>UG150</t>
  </si>
  <si>
    <t>Lena Lötmo</t>
  </si>
  <si>
    <t>0730885516</t>
  </si>
  <si>
    <t>lena.lotmo@vasteras.se</t>
  </si>
  <si>
    <t>Hallstahammars kommun</t>
  </si>
  <si>
    <t>Hallstahammars kommun, Fack 760025, R 067, 10637 Stockholm</t>
  </si>
  <si>
    <t>ZH670011 – Danha Bachiri</t>
  </si>
  <si>
    <t>Danha Bachiri</t>
  </si>
  <si>
    <t>212000‑206</t>
  </si>
  <si>
    <t>Henrik Smidskog</t>
  </si>
  <si>
    <t>Hornafrik IF</t>
  </si>
  <si>
    <t>Hornafrik Ungdomsförening IF, Allmogeplatsen 20, 72480 Västerås</t>
  </si>
  <si>
    <t>Hornafrik.if@hotmail.com</t>
  </si>
  <si>
    <t>Jamal Abdirahman</t>
  </si>
  <si>
    <t>Håkantorpsskolan</t>
  </si>
  <si>
    <t>Västerås Stad, Box 1150, 72129 Västerås</t>
  </si>
  <si>
    <t>AB214</t>
  </si>
  <si>
    <t>Julia Törnblom</t>
  </si>
  <si>
    <t>021-398586</t>
  </si>
  <si>
    <t>Hällbyskolan</t>
  </si>
  <si>
    <t>Västerås stad, Box 1150, 72129 Västerås</t>
  </si>
  <si>
    <t>BG330</t>
  </si>
  <si>
    <t>Per Lindevret</t>
  </si>
  <si>
    <t>021-390200</t>
  </si>
  <si>
    <t>per.lindevret@vasteras.se</t>
  </si>
  <si>
    <t>Hällbyskolan, Angelica N.</t>
  </si>
  <si>
    <t>Angelica Nordfeldt</t>
  </si>
  <si>
    <t>angelica.nordfeldt@vasteras.se</t>
  </si>
  <si>
    <t>Höstlovskul</t>
  </si>
  <si>
    <t>Idrottsförskolan Piggelin</t>
  </si>
  <si>
    <t>metallverksgatan 4, 72130 västerås</t>
  </si>
  <si>
    <t>info@barnkompani.se </t>
  </si>
  <si>
    <t>Sara</t>
  </si>
  <si>
    <t>lirarna@idrottsforskolan.se</t>
  </si>
  <si>
    <t>556628-2561</t>
  </si>
  <si>
    <t xml:space="preserve">Idrottskola för synskadade </t>
  </si>
  <si>
    <t>Alice Berntsson</t>
  </si>
  <si>
    <t>aliceberntsson@gmail.com</t>
  </si>
  <si>
    <t>IFK Fotboll P16</t>
  </si>
  <si>
    <t>sofia@ifk.nu</t>
  </si>
  <si>
    <t>Tomas Rappo</t>
  </si>
  <si>
    <t>0733443751</t>
  </si>
  <si>
    <t>lodet@hotmail.com</t>
  </si>
  <si>
    <t>IFK Västerås</t>
  </si>
  <si>
    <t>mattiasjohan03@hotmail.com</t>
  </si>
  <si>
    <t>Mattias Johansson</t>
  </si>
  <si>
    <t>073-0350705</t>
  </si>
  <si>
    <t>IFK Västerås P 11</t>
  </si>
  <si>
    <t>IFK Västerås FK, Vasagatan 71, 72217 Västerås</t>
  </si>
  <si>
    <t>info@ifk.nu</t>
  </si>
  <si>
    <t>Robin Markos</t>
  </si>
  <si>
    <t>IFK Västerås P09</t>
  </si>
  <si>
    <t>Matilda Åkerlund</t>
  </si>
  <si>
    <t>070393 77 77</t>
  </si>
  <si>
    <t>matildasjostrand@hotmail.com</t>
  </si>
  <si>
    <t>IK Franke</t>
  </si>
  <si>
    <t>kansli@ikfranke.com</t>
  </si>
  <si>
    <t>Johan Persson</t>
  </si>
  <si>
    <t>0738675167</t>
  </si>
  <si>
    <t>ikfranke@outlook.com</t>
  </si>
  <si>
    <t>IK Oden P08</t>
  </si>
  <si>
    <t>ik.oden@telia.com</t>
  </si>
  <si>
    <t>Åsa Nordin</t>
  </si>
  <si>
    <t>IK Westmannia, Christer W.</t>
  </si>
  <si>
    <t>IK Westmannia friidrott och skidor, Box 19, 731 21 Köping</t>
  </si>
  <si>
    <t>info@ikw-frisk.se</t>
  </si>
  <si>
    <t>Christer Wåhlander</t>
  </si>
  <si>
    <t>0705889087</t>
  </si>
  <si>
    <t>krillew313@me.com</t>
  </si>
  <si>
    <t>IK Westmannia, Jenny H.</t>
  </si>
  <si>
    <t>jennyholgersson@outlook.com</t>
  </si>
  <si>
    <t>Jenny Holgersson</t>
  </si>
  <si>
    <t>0704011895</t>
  </si>
  <si>
    <t>IKW</t>
  </si>
  <si>
    <t>Allan Lundgren</t>
  </si>
  <si>
    <t>Inlagda Gurkspelen</t>
  </si>
  <si>
    <t>Inomhus-DM</t>
  </si>
  <si>
    <t>Internationella Engelska Skolan Västerås</t>
  </si>
  <si>
    <t>IES Sverige AB, Attn: Faktura Västerås/PE, Nytorpsvägen 5B, 18371 Täby</t>
  </si>
  <si>
    <t>faktura@engelska.se</t>
  </si>
  <si>
    <t>Olov Gohde</t>
  </si>
  <si>
    <t>0723713860</t>
  </si>
  <si>
    <t>olov.gohde.vasteras@engelska.se</t>
  </si>
  <si>
    <t>Irsta IF P09</t>
  </si>
  <si>
    <t>Irsta IF, Box 17028, 72017 Västerås</t>
  </si>
  <si>
    <t>Mattias Johansson (P09)</t>
  </si>
  <si>
    <t>Irsta IF U17</t>
  </si>
  <si>
    <t>maland777@gmail.com</t>
  </si>
  <si>
    <t>Malin Andersson</t>
  </si>
  <si>
    <t>0760209509</t>
  </si>
  <si>
    <t>Irsta U19</t>
  </si>
  <si>
    <t>073-7800334</t>
  </si>
  <si>
    <t>sebastian@kopparhalsan.se</t>
  </si>
  <si>
    <t>IVSM</t>
  </si>
  <si>
    <t>JENSEN grundskola</t>
  </si>
  <si>
    <t>JENSEN education AB, Box 4, 737 21 FAGERSTA</t>
  </si>
  <si>
    <t>Eric Sundin</t>
  </si>
  <si>
    <t>0219770900</t>
  </si>
  <si>
    <t>eric.sundinlandstrom@jenseneducation.se</t>
  </si>
  <si>
    <t>556635-8759</t>
  </si>
  <si>
    <t>JENSEN, Anki T.</t>
  </si>
  <si>
    <t>JENSEN education college AB, AISE1265 Scancloud SE-831 90 ÖSTERSUND</t>
  </si>
  <si>
    <t>SE-5566358759@pdf.scancloud.se</t>
  </si>
  <si>
    <t>Ann-Christine Thomson</t>
  </si>
  <si>
    <t>anki.thomson@jenseneducation.se</t>
  </si>
  <si>
    <t>Joakim Wallon, GIH</t>
  </si>
  <si>
    <t>joakim.wallon@gmail.com</t>
  </si>
  <si>
    <t>Joakim Wallon</t>
  </si>
  <si>
    <t>0735183420</t>
  </si>
  <si>
    <t>Jobbmässa</t>
  </si>
  <si>
    <t>Shiva Behzadnia</t>
  </si>
  <si>
    <t>shiva.be48@gmail.com</t>
  </si>
  <si>
    <t>Julskinkekastet</t>
  </si>
  <si>
    <t>Kolarhagen, boule</t>
  </si>
  <si>
    <t>RBF Västeråshus 17, Kolarhagen, Fack 97829725, R 879, 106 37 Stockholm</t>
  </si>
  <si>
    <t>Kopparlundsgymnasiet</t>
  </si>
  <si>
    <t>Kopparlundsgymnasiet  FE 854-634  Scancloud  83 190 Östersund</t>
  </si>
  <si>
    <t>Annica Fredell</t>
  </si>
  <si>
    <t>annica.fredell@kgy.se</t>
  </si>
  <si>
    <t>Kristiansborgsskolan</t>
  </si>
  <si>
    <t>BH 140</t>
  </si>
  <si>
    <t>Göran Lindsgård</t>
  </si>
  <si>
    <t>021397622</t>
  </si>
  <si>
    <t>goran.lindsgard@skola.vasteras.se</t>
  </si>
  <si>
    <t>Kulramens förskola, Avd. Kvadraten</t>
  </si>
  <si>
    <t>Ann-Kristin Åström</t>
  </si>
  <si>
    <t>021-394769</t>
  </si>
  <si>
    <t>ann-kristin.astrom@vasteras.se</t>
  </si>
  <si>
    <t>Kungsåra/Malmaberg, Boule</t>
  </si>
  <si>
    <t>Kunskapsgymnasiet</t>
  </si>
  <si>
    <t>Kunskapsskolan i Sverige AB, Box 11205, 10061 Stockholm</t>
  </si>
  <si>
    <t>faktura@kunskapsskolan.se</t>
  </si>
  <si>
    <t>Mats Sandling</t>
  </si>
  <si>
    <t>0703659078</t>
  </si>
  <si>
    <t>mats.sandling@kunskapsgymnasiet.se</t>
  </si>
  <si>
    <t>Kunskapsskolan, Maria K</t>
  </si>
  <si>
    <t>Maria Karlsson</t>
  </si>
  <si>
    <t>maria.karlsson@kunskapsskolan.se</t>
  </si>
  <si>
    <t>Kunskapsskolan, Trine-Mie M.</t>
  </si>
  <si>
    <t>Trine Mie Mattsson</t>
  </si>
  <si>
    <t>0733173443</t>
  </si>
  <si>
    <t>trinemie.mattsson@kunskapsskolan.se</t>
  </si>
  <si>
    <t>Kunskapsskolan, Ulrika K. W.</t>
  </si>
  <si>
    <t>Ulrika Kårehed Wester</t>
  </si>
  <si>
    <t>0704016778</t>
  </si>
  <si>
    <t>ulrika.karehedwester@kunskapsskolan.se</t>
  </si>
  <si>
    <t>Lidmanska gymnasiet, Elin B.</t>
  </si>
  <si>
    <t>UG240</t>
  </si>
  <si>
    <t>Elin Barklund</t>
  </si>
  <si>
    <t>0704441887</t>
  </si>
  <si>
    <t>elin.barklund@vasteras.se</t>
  </si>
  <si>
    <t>Lidmanska gymnasiärskolan, Lena B.</t>
  </si>
  <si>
    <t>aa697</t>
  </si>
  <si>
    <t>Lena Bergström</t>
  </si>
  <si>
    <t>0765691947</t>
  </si>
  <si>
    <t>lena2.bergstrom@vasteras.se</t>
  </si>
  <si>
    <t>Lidmanska/Widénska</t>
  </si>
  <si>
    <t>0765693318</t>
  </si>
  <si>
    <t>Loppis</t>
  </si>
  <si>
    <t>Susanne Wall, Repslagargatan 7F, 724 60 Västerås</t>
  </si>
  <si>
    <t>Utanby2@hotmail.com</t>
  </si>
  <si>
    <t>Susanne Wall</t>
  </si>
  <si>
    <t>660216-6602</t>
  </si>
  <si>
    <t>Maja Gustavsson träning</t>
  </si>
  <si>
    <t>070448 89 45</t>
  </si>
  <si>
    <t>Mikael Backlund, Patrick Rapp</t>
  </si>
  <si>
    <t>info@sportperformancecenter.com</t>
  </si>
  <si>
    <t>Patrick Rapp</t>
  </si>
  <si>
    <t>0738098422</t>
  </si>
  <si>
    <t>Mikael Engbom, Löpargrupp</t>
  </si>
  <si>
    <t>mikael@engbom.net</t>
  </si>
  <si>
    <t>Mikael Engbom</t>
  </si>
  <si>
    <t>0709784555</t>
  </si>
  <si>
    <t>Mälardalens ridgymnasium</t>
  </si>
  <si>
    <t>ekonomi@mrgrid.se</t>
  </si>
  <si>
    <t>Meril Stjernström</t>
  </si>
  <si>
    <t>meril@mrgrid.se</t>
  </si>
  <si>
    <t>Mälarparksskolan</t>
  </si>
  <si>
    <t>Västerås Stad,Box 1150, 721 29 Västerås</t>
  </si>
  <si>
    <t>BG380</t>
  </si>
  <si>
    <t>Håkan Setthammar</t>
  </si>
  <si>
    <t>hakan.setthammar@vasteras.se</t>
  </si>
  <si>
    <t>Mälarparksskolan, Catarina H.</t>
  </si>
  <si>
    <t>Catarina Holmlund</t>
  </si>
  <si>
    <t>0706934377</t>
  </si>
  <si>
    <t>catarina.holmlund@vasteras.se</t>
  </si>
  <si>
    <t>NIU</t>
  </si>
  <si>
    <t>Maria Lindström</t>
  </si>
  <si>
    <t>maria3.lindstrom@vasteras.se</t>
  </si>
  <si>
    <t>NIU (hallen)</t>
  </si>
  <si>
    <t>NIU (konferensrummet)</t>
  </si>
  <si>
    <t>Noblaskolan</t>
  </si>
  <si>
    <t>Pysslingen Förskolor och Skolor AB, Box 213, 101 24 Stockholm</t>
  </si>
  <si>
    <t>leveranstorsfaktura@academedia.se</t>
  </si>
  <si>
    <t>Tony Hirvero</t>
  </si>
  <si>
    <t>0736773428</t>
  </si>
  <si>
    <t>tony.hirvero@noblaskolan.se</t>
  </si>
  <si>
    <t>556035-4309</t>
  </si>
  <si>
    <t>Noblaskolan Hagaberg</t>
  </si>
  <si>
    <t>Pysslingen förskolor och skolor AB, Box 213, 10124 Stockholm</t>
  </si>
  <si>
    <t>Linus Gustafsson</t>
  </si>
  <si>
    <t>0707787975</t>
  </si>
  <si>
    <t>linus.gustafsson@noblaskolan.se</t>
  </si>
  <si>
    <t>Noblaskolan Hemdal</t>
  </si>
  <si>
    <t>Marinela Atanasova</t>
  </si>
  <si>
    <t>021-156075</t>
  </si>
  <si>
    <t>marinela.atanasova@noblaskolan.se</t>
  </si>
  <si>
    <t>Noblaskolan Hemdal, Ellen S.</t>
  </si>
  <si>
    <t>ellen.spang@noblaskolan.se</t>
  </si>
  <si>
    <t>Ellen Spång</t>
  </si>
  <si>
    <t>0761025350</t>
  </si>
  <si>
    <t>NTI Gymnasiet</t>
  </si>
  <si>
    <t>NTI Gymnasiet Ellips AB, Box 213, 10124 Stockholm</t>
  </si>
  <si>
    <t>Rebecca Schwartzman</t>
  </si>
  <si>
    <t>0761136673</t>
  </si>
  <si>
    <t>rebecca.schwartzman@ntig.se</t>
  </si>
  <si>
    <t>Olofsson coaching</t>
  </si>
  <si>
    <t>Starzone Sports, Söderbyvägen 4, 195 60 Arlanda Stad, SWEDEN</t>
  </si>
  <si>
    <t>gustav@starzonesports.com</t>
  </si>
  <si>
    <t>Kent Olofsson</t>
  </si>
  <si>
    <t>olofssoncoaching@gmail.com</t>
  </si>
  <si>
    <t>Per Tunander</t>
  </si>
  <si>
    <t>0703140504</t>
  </si>
  <si>
    <t>Pilträdsskolan</t>
  </si>
  <si>
    <t>Stiftelsen Källan, LIN3437 Scancloud, 831 97 Östersund</t>
  </si>
  <si>
    <t>lin3437@pdf.grantthornton.se</t>
  </si>
  <si>
    <t>Hadeel Rasheed   </t>
  </si>
  <si>
    <t>073 866 56 36</t>
  </si>
  <si>
    <t>hadeel.rasheed@piltradsskolan.se</t>
  </si>
  <si>
    <t>878001-9090</t>
  </si>
  <si>
    <t>Polisen</t>
  </si>
  <si>
    <t>Polismyndigheten, 981 82 Kiruna, Kostnadsställe 92040406</t>
  </si>
  <si>
    <t>U0018929</t>
  </si>
  <si>
    <t>Lars Ånestrand</t>
  </si>
  <si>
    <t>070356 01 54</t>
  </si>
  <si>
    <t>larsh.anestrand@polisen.se</t>
  </si>
  <si>
    <t>202100-0076</t>
  </si>
  <si>
    <t>Prisutdelning, VF-Cupen</t>
  </si>
  <si>
    <t>PT Consulting</t>
  </si>
  <si>
    <t>Ägirgatan 10, 633 52 Eskilstuna</t>
  </si>
  <si>
    <t>pelle@ptconsulting.se</t>
  </si>
  <si>
    <t>Per Törnqvist</t>
  </si>
  <si>
    <t>0706829005</t>
  </si>
  <si>
    <t>RBU</t>
  </si>
  <si>
    <t>RBU Västerås Hörntorpsgatan 4 ingång 25  724 71 Västerås</t>
  </si>
  <si>
    <t>Fakturorrbuvasteras@gmail.com</t>
  </si>
  <si>
    <t>Katarina Janderberg</t>
  </si>
  <si>
    <t>0705941179</t>
  </si>
  <si>
    <t>katarina.janderberg@outlook.com</t>
  </si>
  <si>
    <t>Realgymnasiet Västerås</t>
  </si>
  <si>
    <t>Lärande i Sverige AB, Slottsgatan 105, 602 22 Norrköping</t>
  </si>
  <si>
    <t>53622-1</t>
  </si>
  <si>
    <t>Linn Wässman</t>
  </si>
  <si>
    <t>0732028054</t>
  </si>
  <si>
    <t>linn.wassman@realgymnasiet.se</t>
  </si>
  <si>
    <t>556571-5892</t>
  </si>
  <si>
    <t>Realgymnasiet, Andreas G.</t>
  </si>
  <si>
    <t>Andreas Gårdstam</t>
  </si>
  <si>
    <t>andreas.gardstam@realgymnasiet.se</t>
  </si>
  <si>
    <t>RF-SISU fotografering</t>
  </si>
  <si>
    <t>Rudbeckianska Gymnasiet</t>
  </si>
  <si>
    <t>UG100</t>
  </si>
  <si>
    <t>Michael Olsson</t>
  </si>
  <si>
    <t>michael.olsson@vasteras.se</t>
  </si>
  <si>
    <t>Rudbeckianska, Kalle Å.</t>
  </si>
  <si>
    <t>Västerås stad, Box 1150 Västerås</t>
  </si>
  <si>
    <t>Kalle Åkerlund</t>
  </si>
  <si>
    <t>021-394558</t>
  </si>
  <si>
    <t>kalle.akerlund@vasteras.se</t>
  </si>
  <si>
    <t>Rudbeckius, Boule</t>
  </si>
  <si>
    <t>Rönnby IBK</t>
  </si>
  <si>
    <t>suzanne.flodinericsson@gmail.com</t>
  </si>
  <si>
    <t>Emma Hellberg</t>
  </si>
  <si>
    <t>0709996880</t>
  </si>
  <si>
    <t>hellbergemma@gmail.com</t>
  </si>
  <si>
    <t>Rönnbyskolan</t>
  </si>
  <si>
    <t>BH080</t>
  </si>
  <si>
    <t>Jenny Åkerlund</t>
  </si>
  <si>
    <t>jenny.akerlund@vasteras.se</t>
  </si>
  <si>
    <t xml:space="preserve">Skallbergsskolan </t>
  </si>
  <si>
    <t>AF386</t>
  </si>
  <si>
    <t>Daniel Lagergren</t>
  </si>
  <si>
    <t>daniel.lagergren@vasteras.se</t>
  </si>
  <si>
    <t>Skiljebo A-lag</t>
  </si>
  <si>
    <t>ekonomi@skiljebosk.nu</t>
  </si>
  <si>
    <t>Patrik Dandanell</t>
  </si>
  <si>
    <t>patrik.dandanell@skiljebosk.nu</t>
  </si>
  <si>
    <t>Skiljebo fotboll, Christian G.</t>
  </si>
  <si>
    <t>christian.gesser@hotmail.com</t>
  </si>
  <si>
    <t>Christian Gesser</t>
  </si>
  <si>
    <t>0705704847</t>
  </si>
  <si>
    <t>Skiljebo SK P09</t>
  </si>
  <si>
    <t>Skiljebo SK, Väderleksgatan 20, 72131 Västerås</t>
  </si>
  <si>
    <t>andre@produktionshuset.se</t>
  </si>
  <si>
    <t>Lagledare</t>
  </si>
  <si>
    <t>André Giaretta</t>
  </si>
  <si>
    <t>878000-4480</t>
  </si>
  <si>
    <t>Skiljebo SK P19</t>
  </si>
  <si>
    <t>Helgurd Hajo</t>
  </si>
  <si>
    <t>helgurd.hajo@skiljebosk.nu</t>
  </si>
  <si>
    <t>Skiljebo SK, Dan F.</t>
  </si>
  <si>
    <t>Ekonomi@skiljebosk.nu</t>
  </si>
  <si>
    <t>Dan Fröjd</t>
  </si>
  <si>
    <t>danfroejd@gmail.com</t>
  </si>
  <si>
    <t>Skiljebo Sport klubb F09</t>
  </si>
  <si>
    <t>anders.edstrom@bredband2.com</t>
  </si>
  <si>
    <t>Kristina Forsberg</t>
  </si>
  <si>
    <t>0705541585</t>
  </si>
  <si>
    <t>kristina_ina@hotmail.com</t>
  </si>
  <si>
    <t>Skiljebo, boule</t>
  </si>
  <si>
    <t>PRO Skiljebo, Skiljeboplatsen 1B, 723 41 Västerås</t>
  </si>
  <si>
    <t>Skiljebo/Kolarhagen, Boule</t>
  </si>
  <si>
    <t>Skälbyskolan</t>
  </si>
  <si>
    <t>CK Utbildning AB, Fack 1304, FE 897, 751 74 Uppsala</t>
  </si>
  <si>
    <t>efakt.ckutbildning@devo.se</t>
  </si>
  <si>
    <t>Maria Idrott</t>
  </si>
  <si>
    <t>Jocke Larsson</t>
  </si>
  <si>
    <t>0767766661</t>
  </si>
  <si>
    <t>headcoach52@hotmail.com</t>
  </si>
  <si>
    <t>556908-1150</t>
  </si>
  <si>
    <t>Sofiaskolan</t>
  </si>
  <si>
    <t>Sofiaskolan Helene Ondracek Puddelungsgatan 70  721 87 Västerås</t>
  </si>
  <si>
    <t xml:space="preserve">Helena Ondracek  </t>
  </si>
  <si>
    <t>021398759</t>
  </si>
  <si>
    <t>helene.elisabet.ondracek"vasteras.se</t>
  </si>
  <si>
    <t>SPF Hamre Mattcurling</t>
  </si>
  <si>
    <t>Lars Sahlström</t>
  </si>
  <si>
    <t>sahlstromlars@gmail.com</t>
  </si>
  <si>
    <t>Sportlovskul</t>
  </si>
  <si>
    <t>Stenmässan</t>
  </si>
  <si>
    <t>VAGS, Box 12041, 720 21 Västerås</t>
  </si>
  <si>
    <t>Allan Ekberg</t>
  </si>
  <si>
    <t>pusstirabi@gmail.com</t>
  </si>
  <si>
    <t>Södra Svealands Friidrottsförbund</t>
  </si>
  <si>
    <t>Södra Svealands Friidrottsförbund c/o Karolin Eriksson, Kumla-Ekeby 107, 69293 Kumla</t>
  </si>
  <si>
    <t>Anna Bengtsson</t>
  </si>
  <si>
    <t>+46-10-4590306</t>
  </si>
  <si>
    <t>Thoren Business School</t>
  </si>
  <si>
    <t>Thorengruppen AB, FE254, 107 76 Stockholm</t>
  </si>
  <si>
    <t>Gustav Ericson</t>
  </si>
  <si>
    <t>0214481685</t>
  </si>
  <si>
    <t>gustav.eriksson@tbschool.se</t>
  </si>
  <si>
    <t>Tidö Lindö, boule</t>
  </si>
  <si>
    <t>Tillbergaskolan</t>
  </si>
  <si>
    <t>BH040</t>
  </si>
  <si>
    <t>mattias.hertz@vasteras.se</t>
  </si>
  <si>
    <t>Tillbergaskolan, Ida L.</t>
  </si>
  <si>
    <t>Tortunaskolan</t>
  </si>
  <si>
    <t>PAAF302</t>
  </si>
  <si>
    <t>Stefan Olsson</t>
  </si>
  <si>
    <t>0739106029</t>
  </si>
  <si>
    <t>stefan.olsson2@vasteras.se</t>
  </si>
  <si>
    <t>Träningsgrupp föreningen</t>
  </si>
  <si>
    <t>Tullinge Friidrott</t>
  </si>
  <si>
    <t>Daniel Allard/Elias</t>
  </si>
  <si>
    <t>Utbildning 10-12 år</t>
  </si>
  <si>
    <t>Utbildning 12-14 år</t>
  </si>
  <si>
    <t>Utbildning 7-10 år</t>
  </si>
  <si>
    <t>Utbildning LF-Sommarkul</t>
  </si>
  <si>
    <t>VarjeSteg</t>
  </si>
  <si>
    <t xml:space="preserve">VarjeSteg AB, Lindholmsallén 28b, 417 56 Göteborg </t>
  </si>
  <si>
    <t>Lisa Lindefelt</t>
  </si>
  <si>
    <t>0767676331</t>
  </si>
  <si>
    <t>lindefelt@gmail.com</t>
  </si>
  <si>
    <t>VF-Cupen deltävling 1</t>
  </si>
  <si>
    <t>VF-Cupen deltävling 2</t>
  </si>
  <si>
    <t>VF-Cupen deltävling 3</t>
  </si>
  <si>
    <t>VF-Cupen deltävling 4</t>
  </si>
  <si>
    <t>VF-Cupen deltävling 5</t>
  </si>
  <si>
    <t>VF-Cupen deltävling 6</t>
  </si>
  <si>
    <t>VF-Cupen deltävling 7</t>
  </si>
  <si>
    <t>VF-Cupen deltävling 8</t>
  </si>
  <si>
    <t>VFK 14/15:1</t>
  </si>
  <si>
    <t>Elin Larsson</t>
  </si>
  <si>
    <t>0735657657</t>
  </si>
  <si>
    <t>elin.marie.larsson@gmail.com</t>
  </si>
  <si>
    <t>VFK 14/15:2</t>
  </si>
  <si>
    <t>Elin Brodin</t>
  </si>
  <si>
    <t>070920 27 72</t>
  </si>
  <si>
    <t>elinbro@yahoo.com</t>
  </si>
  <si>
    <t>VFK 14/15:3</t>
  </si>
  <si>
    <t>070450 52 17</t>
  </si>
  <si>
    <t>VFK 18/19:2</t>
  </si>
  <si>
    <t>VFK-Galan</t>
  </si>
  <si>
    <t>VIK fotboll</t>
  </si>
  <si>
    <t>andreas@vik-fotboll.com;  kansli@vikfotboll.se</t>
  </si>
  <si>
    <t xml:space="preserve">Andreas </t>
  </si>
  <si>
    <t>andreas@vik-fotboll.com</t>
  </si>
  <si>
    <t>VIK Fotboll P10</t>
  </si>
  <si>
    <t>Daniel Sandvall, Engelbrektsgatan 2, 722 16 Västerås</t>
  </si>
  <si>
    <t>daniel@officershuset.se</t>
  </si>
  <si>
    <t>Daniel Sandvall</t>
  </si>
  <si>
    <t>0707141504</t>
  </si>
  <si>
    <t>VIK Hockey</t>
  </si>
  <si>
    <t>Inbox.lev.4477750@arkivplats.se</t>
  </si>
  <si>
    <t>Västerås Ishockeyklubb</t>
  </si>
  <si>
    <t>817605-3166</t>
  </si>
  <si>
    <t>Viksäng, boule</t>
  </si>
  <si>
    <t>PRO Viksäng, Regementsgatan 87, 723 45 Västerås</t>
  </si>
  <si>
    <t>Viksängsskolan</t>
  </si>
  <si>
    <t>Västerås Stad, Box1150, 721 29 Västerås</t>
  </si>
  <si>
    <t>BH010</t>
  </si>
  <si>
    <t>Niklas Alm</t>
  </si>
  <si>
    <t>021-390852</t>
  </si>
  <si>
    <t>niklas.alm@vasteras.se</t>
  </si>
  <si>
    <t>VSK Bandy Herrlag</t>
  </si>
  <si>
    <t>faktura2043_vskbandyevent@erip.se</t>
  </si>
  <si>
    <t>Johan Ganebro</t>
  </si>
  <si>
    <t>0708655340</t>
  </si>
  <si>
    <t>johan@ganebro.se</t>
  </si>
  <si>
    <t>VSK P13</t>
  </si>
  <si>
    <t>anders_bergh@hotmail.com</t>
  </si>
  <si>
    <t>Anders Bergh</t>
  </si>
  <si>
    <t>070-816 73 41</t>
  </si>
  <si>
    <t>VSOK</t>
  </si>
  <si>
    <t>Västerås Skid- Och Orienterings Klubb, Box 2021, 720 02 Västerås</t>
  </si>
  <si>
    <t>info@vasterassok.com</t>
  </si>
  <si>
    <t>Johan Herbst</t>
  </si>
  <si>
    <t>0707592181</t>
  </si>
  <si>
    <t>johan.her@hotmail.com</t>
  </si>
  <si>
    <t>V-ås kommun, Boule</t>
  </si>
  <si>
    <t>Västerås BK30</t>
  </si>
  <si>
    <t>Västerås BK30, Bangatan 8, 722 26 Västerås</t>
  </si>
  <si>
    <t>Robert Sturesson</t>
  </si>
  <si>
    <t>robert@bk30.se</t>
  </si>
  <si>
    <t>Västerås Folkhögskola, Annica W.</t>
  </si>
  <si>
    <t>Västerås folkhögskola, Kund-id: LKH1408, FE 108, 105 69 Stockholm</t>
  </si>
  <si>
    <t>lkh0000@tps.banctec.se</t>
  </si>
  <si>
    <t>Allmän kurs Västerås</t>
  </si>
  <si>
    <t>Annica Wilson</t>
  </si>
  <si>
    <t>0734041181</t>
  </si>
  <si>
    <t>annica.wilson@vfhsk.se</t>
  </si>
  <si>
    <t>878002-0684</t>
  </si>
  <si>
    <t>Västerås Folkhögskola, Elin F.</t>
  </si>
  <si>
    <t>michael.deupler@vfhsk.se</t>
  </si>
  <si>
    <t>Elin Fridström</t>
  </si>
  <si>
    <t>0765861229</t>
  </si>
  <si>
    <t>elinfridstrom@outlook.com</t>
  </si>
  <si>
    <t>Västerås Internationella skola och förskola</t>
  </si>
  <si>
    <t>jlekonomi-1327@pdf.scancloud.se</t>
  </si>
  <si>
    <t>Ia Gullsjö</t>
  </si>
  <si>
    <t>0700355990</t>
  </si>
  <si>
    <t>admin@vins.se</t>
  </si>
  <si>
    <t>Västerås Montessoriskola</t>
  </si>
  <si>
    <t>inbox.lev.508289@arkivplats.se</t>
  </si>
  <si>
    <t>Markus Andersson</t>
  </si>
  <si>
    <t>0706776090</t>
  </si>
  <si>
    <t>markus@vasterasmontessoriskola.se</t>
  </si>
  <si>
    <t>Västerås Triathlonklubb</t>
  </si>
  <si>
    <t>idasternbro@gmail.com</t>
  </si>
  <si>
    <t>Nicklas Meijer</t>
  </si>
  <si>
    <t>0737265658</t>
  </si>
  <si>
    <t>nicklas.meijer@gmail.com</t>
  </si>
  <si>
    <t>VästeråsIrsta HF</t>
  </si>
  <si>
    <t>inbox.lev.1009719@arkivplats.se</t>
  </si>
  <si>
    <t>A-pojk</t>
  </si>
  <si>
    <t>Maria Rydfjord</t>
  </si>
  <si>
    <t>0735063212</t>
  </si>
  <si>
    <t>maria@rydfjord.se</t>
  </si>
  <si>
    <t>Västeråspolisen, Boule</t>
  </si>
  <si>
    <t>Västmanlands fotbollsförbund</t>
  </si>
  <si>
    <t>Idrottens hus, Pontus Widéns väg 18, 722 23 Västerås</t>
  </si>
  <si>
    <t>kansli@vff.se</t>
  </si>
  <si>
    <t>Henrik Haraldsson</t>
  </si>
  <si>
    <t>Angelo Soto</t>
  </si>
  <si>
    <t>0725222274</t>
  </si>
  <si>
    <t>angelo.soto@vasteras.se</t>
  </si>
  <si>
    <t>878000-6592</t>
  </si>
  <si>
    <t>Widénska gymnasiet</t>
  </si>
  <si>
    <t>WorkinOut</t>
  </si>
  <si>
    <t>WorkinOut by Ida AB, C/O Ida Wretling, Stora gatan 73c, 72460 Västerås</t>
  </si>
  <si>
    <t>Ida Wretling</t>
  </si>
  <si>
    <t>0762056996</t>
  </si>
  <si>
    <t>ida@workinout.se</t>
  </si>
  <si>
    <t>559368-4227</t>
  </si>
  <si>
    <t>Yrkesgymnasiet</t>
  </si>
  <si>
    <t>Thorengruppen AB, FE254, 107 76 Stockholm</t>
  </si>
  <si>
    <t>Arkin Keser</t>
  </si>
  <si>
    <t>0736584134</t>
  </si>
  <si>
    <t>arkin.keser@yrkesgymnasiet.se</t>
  </si>
  <si>
    <t>Önsta Gryta, Boule</t>
  </si>
  <si>
    <t>Bo Delbom, Konstnärsvägen 5, 724 71 Västerås</t>
  </si>
  <si>
    <t>Bo Delbom</t>
  </si>
  <si>
    <t>Önsta gryta, mattcurling</t>
  </si>
  <si>
    <t>Övernattning 10/11</t>
  </si>
  <si>
    <t>Stefan Thyni</t>
  </si>
  <si>
    <t>Övernattning, 12/13:2</t>
  </si>
  <si>
    <t>Marika Karlsson</t>
  </si>
  <si>
    <t>070489 93 14</t>
  </si>
  <si>
    <t>Marikak98@hotmail.com</t>
  </si>
  <si>
    <t>Antal</t>
  </si>
  <si>
    <t>Pris</t>
  </si>
  <si>
    <t>Prisklass</t>
  </si>
  <si>
    <t>PRIS</t>
  </si>
  <si>
    <t>0007:5565715892</t>
  </si>
  <si>
    <t>AVBOKAT</t>
  </si>
  <si>
    <t>Hela dagen</t>
  </si>
  <si>
    <t>Hökåsenskolan</t>
  </si>
  <si>
    <t>Västerås stad Box 1150 72129 Västerås</t>
  </si>
  <si>
    <t>BG120</t>
  </si>
  <si>
    <t>073-6383366</t>
  </si>
  <si>
    <t>KSU Bäckbygruppen 2</t>
  </si>
  <si>
    <t>Bäckbygruppen 2, Puddelugnsgatan 70, 721 87 Västerås</t>
  </si>
  <si>
    <t>Jenny Nordlund</t>
  </si>
  <si>
    <t>076-9416651</t>
  </si>
  <si>
    <t>jenny.nordlund@vasteras.se</t>
  </si>
  <si>
    <t>Tid1</t>
  </si>
  <si>
    <t>VIK Fotboll, Jörgen</t>
  </si>
  <si>
    <t>kansli@vikfotboll.se</t>
  </si>
  <si>
    <t>Jörgen</t>
  </si>
  <si>
    <t>021-413184</t>
  </si>
  <si>
    <t>Westridge Athletes</t>
  </si>
  <si>
    <t>Akka</t>
  </si>
  <si>
    <t>Anna-Karin Bäckström</t>
  </si>
  <si>
    <t>akka.backstrom@gmail.com</t>
  </si>
  <si>
    <t>Barnkalas, Andreas E.</t>
  </si>
  <si>
    <t>adde_engstrom@hotmail.com</t>
  </si>
  <si>
    <t>Andreas Engström</t>
  </si>
  <si>
    <t>073-3854740</t>
  </si>
  <si>
    <t>0007:5565661815</t>
  </si>
  <si>
    <t>Södra Svealands Friidrottsförbund, Jenny L.</t>
  </si>
  <si>
    <t>jenny.lernman@friidrott.se</t>
  </si>
  <si>
    <t>Jenny Lernman</t>
  </si>
  <si>
    <t>072-4536695</t>
  </si>
  <si>
    <t>Barnkalas, Anngelica A.</t>
  </si>
  <si>
    <t>Anngelica Andren</t>
  </si>
  <si>
    <t>annie_andren@hotmail.com</t>
  </si>
  <si>
    <t>072-2186728</t>
  </si>
  <si>
    <t>Tranellska/Widénska</t>
  </si>
  <si>
    <t>Barnkalas, Ebba H.</t>
  </si>
  <si>
    <t>Ebba Hjalmarsson</t>
  </si>
  <si>
    <t>076-1686047</t>
  </si>
  <si>
    <t>Ebbahjalmarsson@live.se</t>
  </si>
  <si>
    <t>021-390988</t>
  </si>
  <si>
    <t>VFK Årsmöte</t>
  </si>
  <si>
    <t>Skiljebo SK Fotboll, Mathias B.</t>
  </si>
  <si>
    <t>maberglund@live.se</t>
  </si>
  <si>
    <t>Mathias Berglund</t>
  </si>
  <si>
    <t>070-2134721</t>
  </si>
  <si>
    <t>Friskis &amp; Svettis</t>
  </si>
  <si>
    <t>Therése Arnlund</t>
  </si>
  <si>
    <t>021-101236</t>
  </si>
  <si>
    <t>therese@vasteras.friskissvettis.se</t>
  </si>
  <si>
    <t>Peter Wallin</t>
  </si>
  <si>
    <t>070-2987025</t>
  </si>
  <si>
    <t>wallin.peter@gmail.com</t>
  </si>
  <si>
    <t>Barnkalas, Peter W.</t>
  </si>
  <si>
    <t>Katarina Löfgren</t>
  </si>
  <si>
    <t>katarinakarlsson93@gmail.com</t>
  </si>
  <si>
    <t>Katarina Karlsson</t>
  </si>
  <si>
    <t>073-3662166</t>
  </si>
  <si>
    <t>Viksängsskolan, Pontus W.</t>
  </si>
  <si>
    <t>Pontus Willman</t>
  </si>
  <si>
    <t>pontus.willman@vasteras.se</t>
  </si>
  <si>
    <t>021-390851</t>
  </si>
  <si>
    <t>Träningsgrupper VFK (ej bokningsbar tid)</t>
  </si>
  <si>
    <t>Svenska Fotbollsförbundet</t>
  </si>
  <si>
    <t>Svenska fotbollsförbundet, Box 1216, 171 23 Solna</t>
  </si>
  <si>
    <t>Örjan Carrwik</t>
  </si>
  <si>
    <t>070-7253693</t>
  </si>
  <si>
    <t>orjan.carrwik@svenskfotboll.se</t>
  </si>
  <si>
    <t>815200-1916</t>
  </si>
  <si>
    <t>Kalas, Karolina D.</t>
  </si>
  <si>
    <t>Karolina Drozdibob</t>
  </si>
  <si>
    <t>073-0815797</t>
  </si>
  <si>
    <t>k.drozdibob@gmail.com</t>
  </si>
  <si>
    <t>mathias@schon.se</t>
  </si>
  <si>
    <t>Mathias Bernövall</t>
  </si>
  <si>
    <t>Skiljebo SK P13 Fotboll</t>
  </si>
  <si>
    <t>070-3422340</t>
  </si>
  <si>
    <t>Ekbergaskolan</t>
  </si>
  <si>
    <t>Sara Barkman</t>
  </si>
  <si>
    <t>021-394520</t>
  </si>
  <si>
    <t>sbarkman@hotmail.com</t>
  </si>
  <si>
    <t>BG020</t>
  </si>
  <si>
    <t>efaktura@larande.se</t>
  </si>
  <si>
    <t>Västerås Fritidsgårdar</t>
  </si>
  <si>
    <t>VFK 12/13:2</t>
  </si>
  <si>
    <t>070-4899314</t>
  </si>
  <si>
    <t>878000-5156 </t>
  </si>
  <si>
    <t>faktura@irstaif.se; jkronlof@gmail.com</t>
  </si>
  <si>
    <t>BH223</t>
  </si>
  <si>
    <t>leverantorsfaktura@academedia.se</t>
  </si>
  <si>
    <t>0007:556035-4309</t>
  </si>
  <si>
    <t>VFK 16/17:5</t>
  </si>
  <si>
    <t>VFK</t>
  </si>
  <si>
    <t>Matilda Sätre</t>
  </si>
  <si>
    <t>matilda1990@gmail.com</t>
  </si>
  <si>
    <t>070-3420871</t>
  </si>
  <si>
    <t>073-7454525</t>
  </si>
  <si>
    <t>Barnkalas, Malin R.</t>
  </si>
  <si>
    <t>malinroslund@hotmail.com</t>
  </si>
  <si>
    <t>Malin Roslund</t>
  </si>
  <si>
    <t>073-0443522</t>
  </si>
  <si>
    <t>VästeråsIrsta HF, Jonas G.</t>
  </si>
  <si>
    <t>jonas_gard@hotmail.com</t>
  </si>
  <si>
    <t>Jonas Gärd</t>
  </si>
  <si>
    <t>070-5880507</t>
  </si>
  <si>
    <t>VarjeSteg Anna S.</t>
  </si>
  <si>
    <t>VarjeStegs Löparklubb, Lindholmsallén 26c, 416 56 Göteborg</t>
  </si>
  <si>
    <t>Anna Siggelin</t>
  </si>
  <si>
    <t>anna.siggelin@hitachienergy.com</t>
  </si>
  <si>
    <t>802535-8145</t>
  </si>
  <si>
    <t>072-5639050</t>
  </si>
  <si>
    <t>IF Friskis &amp; Svettis, Pontus Widéns Väg 6, 72223 Västerås</t>
  </si>
  <si>
    <t>878001-0321</t>
  </si>
  <si>
    <t>faktura@vasteras.friskissvettis.se</t>
  </si>
  <si>
    <t>Barnkalas, Emelie F.</t>
  </si>
  <si>
    <t>Emeli Fahlén</t>
  </si>
  <si>
    <t>073-0454474</t>
  </si>
  <si>
    <t>Västerås Rönnby IBK</t>
  </si>
  <si>
    <t>info@ronnby.se</t>
  </si>
  <si>
    <t>Mikael Stenholt</t>
  </si>
  <si>
    <t>Sebastian Eriksson; Mikael Stenholt</t>
  </si>
  <si>
    <t>073-7800334; 070-318 06 66</t>
  </si>
  <si>
    <t>sebastian@kopparhalsan.se; stenholt@telia.com</t>
  </si>
  <si>
    <t>878002-3084</t>
  </si>
  <si>
    <t>Skälby Sharks</t>
  </si>
  <si>
    <t>nille280@hotmail.com</t>
  </si>
  <si>
    <t>Martin Nilsson</t>
  </si>
  <si>
    <t>Sebastian Ericsson</t>
  </si>
  <si>
    <t>878001-3788</t>
  </si>
  <si>
    <t>Västerås IK Hockey, A-lag</t>
  </si>
  <si>
    <t>William Lindgren</t>
  </si>
  <si>
    <t>073-360 68 64</t>
  </si>
  <si>
    <t>william@vik.se</t>
  </si>
  <si>
    <t>VÄSTERÅS ISHOCKEYKLUBB (VIK), ABB Arena Nord, 722 17 Västerås</t>
  </si>
  <si>
    <t>Fotografering grupper VFK</t>
  </si>
  <si>
    <t>Västerås IK Hockey, Juniorer</t>
  </si>
  <si>
    <t>Sefan Holmgren</t>
  </si>
  <si>
    <t>Kristoffer Ericsson</t>
  </si>
  <si>
    <t>073-6640180</t>
  </si>
  <si>
    <t>kristoffer@kopparhalsan.se</t>
  </si>
  <si>
    <t>John M, Kalas</t>
  </si>
  <si>
    <t>John Melin</t>
  </si>
  <si>
    <t>johnmelin@hotmail.com</t>
  </si>
  <si>
    <t>070-6590247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</si>
</sst>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000000000"/>
    <numFmt numFmtId="165" formatCode="hh:mm&quot; -&quot;"/>
    <numFmt numFmtId="166" formatCode="#,##0&quot; :-&quot;"/>
    <numFmt numFmtId="167" formatCode="dd\ mmm"/>
    <numFmt numFmtId="168" formatCode="&quot;V. &quot;0"/>
    <numFmt numFmtId="169" formatCode="&quot;Kalenderår: &quot;0"/>
    <numFmt numFmtId="170" formatCode="&quot;Boule: &quot;0&quot;:-&quot;"/>
    <numFmt numFmtId="171" formatCode="&quot;Mattcurling: &quot;0&quot;:-&quot;"/>
  </numFmts>
  <fonts count="1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  <font>
      <b/>
      <sz val="11"/>
      <color theme="0" tint="-0.1499679555650502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left"/>
    </xf>
    <xf numFmtId="0" fontId="4" fillId="0" borderId="0" xfId="1"/>
    <xf numFmtId="0" fontId="2" fillId="0" borderId="0" xfId="0" applyFont="1"/>
    <xf numFmtId="0" fontId="6" fillId="0" borderId="0" xfId="1" applyFont="1"/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left"/>
    </xf>
    <xf numFmtId="166" fontId="0" fillId="0" borderId="0" xfId="0" applyNumberFormat="1"/>
    <xf numFmtId="164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170" fontId="3" fillId="0" borderId="5" xfId="0" applyNumberFormat="1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/>
    <xf numFmtId="171" fontId="3" fillId="0" borderId="5" xfId="0" applyNumberFormat="1" applyFont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167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right"/>
    </xf>
    <xf numFmtId="20" fontId="0" fillId="0" borderId="0" xfId="0" applyNumberForma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5" fontId="8" fillId="0" borderId="0" xfId="0" applyNumberFormat="1" applyFont="1" applyAlignment="1">
      <alignment horizontal="center"/>
    </xf>
    <xf numFmtId="20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/>
    <xf numFmtId="166" fontId="0" fillId="0" borderId="1" xfId="0" applyNumberFormat="1" applyBorder="1"/>
    <xf numFmtId="0" fontId="3" fillId="2" borderId="11" xfId="0" applyFont="1" applyFill="1" applyBorder="1" applyAlignment="1">
      <alignment horizontal="right" vertical="center"/>
    </xf>
    <xf numFmtId="166" fontId="3" fillId="2" borderId="1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14" fontId="3" fillId="3" borderId="11" xfId="0" applyNumberFormat="1" applyFont="1" applyFill="1" applyBorder="1" applyAlignment="1">
      <alignment horizontal="center"/>
    </xf>
    <xf numFmtId="165" fontId="0" fillId="3" borderId="11" xfId="0" applyNumberFormat="1" applyFill="1" applyBorder="1" applyAlignment="1">
      <alignment horizontal="right"/>
    </xf>
    <xf numFmtId="20" fontId="0" fillId="3" borderId="12" xfId="0" applyNumberFormat="1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11" xfId="0" applyFill="1" applyBorder="1" applyAlignment="1">
      <alignment horizontal="left"/>
    </xf>
    <xf numFmtId="166" fontId="0" fillId="3" borderId="11" xfId="0" applyNumberFormat="1" applyFill="1" applyBorder="1" applyAlignment="1">
      <alignment horizontal="right"/>
    </xf>
    <xf numFmtId="0" fontId="0" fillId="3" borderId="12" xfId="0" applyFill="1" applyBorder="1" applyAlignment="1">
      <alignment horizontal="left"/>
    </xf>
    <xf numFmtId="0" fontId="0" fillId="3" borderId="11" xfId="0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3" borderId="11" xfId="0" applyNumberForma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3" fillId="3" borderId="14" xfId="0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65" fontId="0" fillId="3" borderId="4" xfId="0" applyNumberFormat="1" applyFill="1" applyBorder="1" applyAlignment="1">
      <alignment horizontal="right"/>
    </xf>
    <xf numFmtId="20" fontId="0" fillId="3" borderId="5" xfId="0" applyNumberForma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166" fontId="0" fillId="3" borderId="4" xfId="0" applyNumberForma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4" xfId="0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3" borderId="4" xfId="0" applyNumberFormat="1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69" fontId="10" fillId="0" borderId="0" xfId="0" applyNumberFormat="1" applyFont="1" applyAlignment="1" applyProtection="1">
      <alignment horizontal="left" vertical="center"/>
      <protection locked="0"/>
    </xf>
  </cellXfs>
  <cellStyles count="2">
    <cellStyle name="Hyperlänk" xfId="1" builtinId="8"/>
    <cellStyle name="Normal" xfId="0" builtinId="0"/>
  </cellStyles>
  <dxfs count="4021">
    <dxf>
      <font>
        <b/>
      </font>
    </dxf>
    <dxf>
      <numFmt numFmtId="166" formatCode="#,##0&quot; :-&quot;"/>
    </dxf>
    <dxf>
      <numFmt numFmtId="166" formatCode="#,##0&quot; :-&quot;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strike/>
      </font>
    </dxf>
    <dxf>
      <font>
        <b/>
        <i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</font>
      <numFmt numFmtId="164" formatCode="0000000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strike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0" tint="-4.9989318521683403E-2"/>
      </font>
    </dxf>
    <dxf>
      <font>
        <b/>
        <i/>
        <color rgb="FFFF0000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strike/>
      </font>
    </dxf>
    <dxf>
      <font>
        <color theme="1"/>
      </font>
    </dxf>
    <dxf>
      <font>
        <color theme="1"/>
      </font>
    </dxf>
    <dxf>
      <font>
        <b/>
        <i/>
        <color rgb="FFFF0000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1"/>
      </font>
    </dxf>
    <dxf>
      <font>
        <color theme="1"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numFmt numFmtId="25" formatCode="hh:mm"/>
      <alignment horizontal="left" vertical="bottom" textRotation="0" wrapText="0" indent="0" justifyLastLine="0" shrinkToFit="0" readingOrder="0"/>
      <protection locked="1" hidden="0"/>
    </dxf>
    <dxf>
      <numFmt numFmtId="165" formatCode="hh:mm&quot; -&quot;"/>
      <alignment horizontal="righ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yyyy/mm/dd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rgb="FFC00000"/>
      </font>
    </dxf>
    <dxf>
      <font>
        <color rgb="FFC00000"/>
      </font>
    </dxf>
    <dxf>
      <font>
        <color theme="1"/>
      </font>
    </dxf>
    <dxf>
      <font>
        <color theme="1"/>
      </font>
    </dxf>
    <dxf>
      <font>
        <strike/>
      </font>
    </dxf>
    <dxf>
      <font>
        <color theme="0" tint="-4.9989318521683403E-2"/>
      </font>
    </dxf>
    <dxf>
      <font>
        <b/>
        <i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</border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horizontal style="thin">
          <color auto="1"/>
        </horizontal>
      </border>
    </dxf>
    <dxf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color theme="1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>
          <bgColor theme="0" tint="-4.9989318521683403E-2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horizontal style="thin">
          <color auto="1"/>
        </horizontal>
      </border>
    </dxf>
  </dxfs>
  <tableStyles count="2" defaultTableStyle="Tabellformat 1" defaultPivotStyle="PivotStyleLight16">
    <tableStyle name="Hallbokningsschema 2" pivot="0" count="3" xr9:uid="{A06FC7F2-F574-4899-87B0-16651310953B}">
      <tableStyleElement type="wholeTable" dxfId="4020"/>
      <tableStyleElement type="headerRow" dxfId="4019"/>
      <tableStyleElement type="totalRow" dxfId="4018"/>
    </tableStyle>
    <tableStyle name="Tabellformat 1" pivot="0" count="3" xr9:uid="{E28212BF-CEA5-45F4-AFED-79DA4AA48119}">
      <tableStyleElement type="wholeTable" dxfId="4017"/>
      <tableStyleElement type="headerRow" dxfId="4016"/>
      <tableStyleElement type="totalRow" dxfId="40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microsoft.com/office/2022/11/relationships/FeaturePropertyBag" Target="featurePropertyBag/featurePropertyBag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sheetMetadata" Target="metadata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>
  <person displayName="Västerås Friidrottsklubb Kansliet" id="{38C3A224-CC16-43D2-88BF-52B59FED2B5B}" userId="S::kansliet@vasterasfriidrott.se::d27de295-19d0-4f78-80ef-8783c67690f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22C7F61-C7E4-4D4F-8808-872C56D899B3}" name="Tabell1" displayName="Tabell1" ref="A2:F3" totalsRowShown="0" headerRowDxfId="3997" dataDxfId="3996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A1E3A28-F0D1-476A-A3DC-A97E1F409EDA}" name="DAG" dataDxfId="3995">
      <calculatedColumnFormula>PROPER(TEXT(B3, "dddd"))</calculatedColumnFormula>
    </tableColumn>
    <tableColumn id="2" xr3:uid="{923F4F8A-F48A-4D80-985F-6BCAC7A4D94C}" name="DATUM" dataDxfId="3994">
      <calculatedColumnFormula>Måndag1</calculatedColumnFormula>
    </tableColumn>
    <tableColumn id="3" xr3:uid="{9261020C-1226-4682-936B-D3F0C79A642D}" name="Tid1" dataDxfId="3993"/>
    <tableColumn id="4" xr3:uid="{836BA89F-C589-458B-9606-2D19021C32F6}" name="TID" dataDxfId="3992"/>
    <tableColumn id="5" xr3:uid="{4ACA763C-C40F-4FB8-B846-9D8A0FFFC60F}" name="ANTAL" dataDxfId="3991"/>
    <tableColumn id="6" xr3:uid="{A8F5B22F-9357-4DFD-8135-8693EE9BD3F0}" name="GRUPP/LAG/SKOLA/ETC." dataDxfId="3990"/>
  </tableColumns>
  <tableStyleInfo name="Hallbokningsschema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DAC2F2-EAD3-4F40-8BE0-D5DB725208FD}" name="Tabell2" displayName="Tabell2" ref="A4:F5" totalsRowShown="0" headerRowDxfId="3989" dataDxfId="3988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0621715-9DA1-44DE-AF5C-A190A8F743B6}" name="DAG" dataDxfId="3987">
      <calculatedColumnFormula>PROPER(TEXT(B5, "dddd"))</calculatedColumnFormula>
    </tableColumn>
    <tableColumn id="2" xr3:uid="{108B1279-2EC7-4E73-B3EA-FC6DB7495159}" name="DATUM" dataDxfId="3986">
      <calculatedColumnFormula>Tisdag1</calculatedColumnFormula>
    </tableColumn>
    <tableColumn id="3" xr3:uid="{3083E7B4-365F-4B10-A415-D78A2CF6EA82}" name="Tid1" dataDxfId="3985"/>
    <tableColumn id="4" xr3:uid="{AA5484C8-7C40-413E-80A2-8C8FB56E134E}" name="TID" dataDxfId="3984"/>
    <tableColumn id="5" xr3:uid="{AE3DA150-8E54-4BBD-93CD-BF4534C65CE5}" name="ANTAL" dataDxfId="3983"/>
    <tableColumn id="6" xr3:uid="{71F485AA-3275-4338-9DA9-D76ED26B4E12}" name="GRUPP/LAG/SKOLA/ETC." dataDxfId="3982"/>
  </tableColumns>
  <tableStyleInfo name="Hallbokningsschema 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C84C0AB-C1C3-4B50-8FC4-E37947BB810E}" name="Tabell3" displayName="Tabell3" ref="A6:F7" totalsRowShown="0" headerRowDxfId="3981" dataDxfId="3980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C44C775-252C-4DD9-8572-4F5A4D673532}" name="DAG" dataDxfId="3979">
      <calculatedColumnFormula>PROPER(TEXT(B7, "dddd"))</calculatedColumnFormula>
    </tableColumn>
    <tableColumn id="2" xr3:uid="{077FF6F1-87E7-4018-9CF3-C8A220532381}" name="DATUM" dataDxfId="3978">
      <calculatedColumnFormula>Onsdag1</calculatedColumnFormula>
    </tableColumn>
    <tableColumn id="3" xr3:uid="{E3013C8F-200C-42AD-9A11-91B029C63305}" name="Tid1" dataDxfId="3977"/>
    <tableColumn id="4" xr3:uid="{175CE322-EEB2-4B50-A043-8600B0A2595E}" name="TID" dataDxfId="3976"/>
    <tableColumn id="5" xr3:uid="{605B521F-3C4B-4C8B-A283-56C9FC39D637}" name="ANTAL" dataDxfId="3975"/>
    <tableColumn id="6" xr3:uid="{E5B6AD93-FAC4-4BA0-8056-596EA28DAF6E}" name="GRUPP/LAG/SKOLA/ETC." dataDxfId="3974"/>
  </tableColumns>
  <tableStyleInfo name="Hallbokningsschema 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27A0AF5-7454-4BFE-A7A2-09E28F0134B9}" name="Tabell4" displayName="Tabell4" ref="A8:F11" totalsRowShown="0" headerRowDxfId="3973" dataDxfId="3972">
  <autoFilter ref="A8:F11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103AD5A-9F18-49A9-B0A4-91642E3BAA31}" name="DAG" dataDxfId="3971">
      <calculatedColumnFormula>PROPER(TEXT(B9, "dddd"))</calculatedColumnFormula>
    </tableColumn>
    <tableColumn id="2" xr3:uid="{C7D35AC4-4A03-441B-89E2-2BC7AB3FF996}" name="DATUM" dataDxfId="3970">
      <calculatedColumnFormula>Torsdag1</calculatedColumnFormula>
    </tableColumn>
    <tableColumn id="3" xr3:uid="{79BDCA3A-BD68-448F-9412-2AD046B5B550}" name="Tid1" dataDxfId="3969"/>
    <tableColumn id="4" xr3:uid="{AE456968-B61A-487F-BC90-EA4E022ED9F7}" name="TID" dataDxfId="3968"/>
    <tableColumn id="5" xr3:uid="{FFFAE297-6888-46FC-85FB-B777CAC73EFE}" name="ANTAL" dataDxfId="3967"/>
    <tableColumn id="6" xr3:uid="{DEA01AF3-43C4-4982-9B20-F6D4B3B902A0}" name="GRUPP/LAG/SKOLA/ETC." dataDxfId="3966"/>
  </tableColumns>
  <tableStyleInfo name="Hallbokningsschema 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8C5FB07-8DC9-448D-9CF9-F7A3814496DA}" name="Tabell5" displayName="Tabell5" ref="A12:F15" totalsRowShown="0" headerRowDxfId="3965" dataDxfId="3964">
  <autoFilter ref="A12:F15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6807375-AB68-4617-B85B-43E7D0F93DB5}" name="DAG" dataDxfId="3963">
      <calculatedColumnFormula>PROPER(TEXT(B13, "dddd"))</calculatedColumnFormula>
    </tableColumn>
    <tableColumn id="2" xr3:uid="{68A6EC69-4254-4EB3-981A-A5A5D0C04077}" name="DATUM" dataDxfId="3962">
      <calculatedColumnFormula>Fredag1</calculatedColumnFormula>
    </tableColumn>
    <tableColumn id="3" xr3:uid="{0A713D75-FA7A-475F-B299-354EC7FAC08F}" name="Tid1" dataDxfId="3961"/>
    <tableColumn id="4" xr3:uid="{F76505C3-512B-4086-86D2-637AD227193C}" name="TID" dataDxfId="3960"/>
    <tableColumn id="5" xr3:uid="{B685CD03-32DE-4018-A0A6-5D6F826C493B}" name="ANTAL" dataDxfId="3959"/>
    <tableColumn id="6" xr3:uid="{51111F9C-BBFA-4347-873C-1D7BFC7EDE13}" name="GRUPP/LAG/SKOLA/ETC." dataDxfId="3958"/>
  </tableColumns>
  <tableStyleInfo name="Hallbokningsschema 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0DF334B-D113-4CFA-BFA4-4639D82A10AD}" name="Tabell6" displayName="Tabell6" ref="A16:F17" totalsRowShown="0" headerRowDxfId="3957" dataDxfId="3956">
  <autoFilter ref="A16:F17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2670D1F-E690-4FE2-A077-EBD94FD39B15}" name="DAG" dataDxfId="3955">
      <calculatedColumnFormula>PROPER(TEXT(B17, "dddd"))</calculatedColumnFormula>
    </tableColumn>
    <tableColumn id="2" xr3:uid="{F70FD703-78A6-4E53-9980-C25DD5F0E3D2}" name="DATUM" dataDxfId="3954">
      <calculatedColumnFormula>Lördag1</calculatedColumnFormula>
    </tableColumn>
    <tableColumn id="3" xr3:uid="{D96C61BE-9CA7-45AE-8B77-97ACBA67D3C3}" name="Tid1" dataDxfId="3953"/>
    <tableColumn id="4" xr3:uid="{E3B2FEB5-6553-4A9B-BAB2-8D3D71597FE8}" name="TID" dataDxfId="3952"/>
    <tableColumn id="5" xr3:uid="{B0DAC7CD-0831-4083-903E-826E93E26E5C}" name="ANTAL" dataDxfId="3951"/>
    <tableColumn id="6" xr3:uid="{4CE05631-6F84-46D8-A961-B40EB529CC7B}" name="GRUPP/LAG/SKOLA/ETC." dataDxfId="3950"/>
  </tableColumns>
  <tableStyleInfo name="Hallbokningsschema 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0CEE6DB-2666-41C1-948E-C16B806D022A}" name="Tabell7" displayName="Tabell7" ref="A18:F19" totalsRowShown="0" headerRowDxfId="3949" dataDxfId="3948">
  <autoFilter ref="A18:F19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0B43B7C-F78B-47A9-9935-9DEBC50DBCD6}" name="DAG" dataDxfId="3947">
      <calculatedColumnFormula>PROPER(TEXT(B19, "dddd"))</calculatedColumnFormula>
    </tableColumn>
    <tableColumn id="2" xr3:uid="{90A5F71A-C8A3-486B-919F-D095D27BE5CF}" name="DATUM" dataDxfId="3946">
      <calculatedColumnFormula>Söndag1</calculatedColumnFormula>
    </tableColumn>
    <tableColumn id="3" xr3:uid="{83BFF395-E811-4645-BED6-ADAA05B44255}" name="Tid1" dataDxfId="3945"/>
    <tableColumn id="4" xr3:uid="{49EF63CF-31FE-4CB9-BB1E-C7DCB59974EC}" name="TID" dataDxfId="3944"/>
    <tableColumn id="5" xr3:uid="{406C3432-067A-4FAB-9B29-2DE87E98B24A}" name="ANTAL" dataDxfId="3943"/>
    <tableColumn id="6" xr3:uid="{75888DDC-6D1B-4EB0-BDE4-5F55328FC2C5}" name="GRUPP/LAG/SKOLA/ETC." dataDxfId="3942"/>
  </tableColumns>
  <tableStyleInfo name="Hallbokningsschema 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81C9F5B-4EC6-4881-9267-8B0EBAEFCC0B}" name="Tabell8" displayName="Tabell8" ref="A2:F3" totalsRowShown="0" headerRowDxfId="3918" dataDxfId="3917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36BE40A-0848-426E-8935-D30425CB13AB}" name="DAG" dataDxfId="3916">
      <calculatedColumnFormula>PROPER(TEXT(B3, "dddd"))</calculatedColumnFormula>
    </tableColumn>
    <tableColumn id="2" xr3:uid="{58BE5544-831F-4E85-B9D8-F84A6927D886}" name="DATUM" dataDxfId="3915">
      <calculatedColumnFormula>Måndag2</calculatedColumnFormula>
    </tableColumn>
    <tableColumn id="3" xr3:uid="{3E838E2B-68E0-4F64-9402-8BE1586A3F96}" name="Tid1" dataDxfId="3914"/>
    <tableColumn id="4" xr3:uid="{0B6F0EC4-98B1-4CB0-8147-B59A940EBA34}" name="TID" dataDxfId="3913"/>
    <tableColumn id="5" xr3:uid="{0540D74F-3F11-4520-B98D-EF492706590F}" name="ANTAL" dataDxfId="3912"/>
    <tableColumn id="6" xr3:uid="{67785492-911E-48BB-8970-9BC49B0042A3}" name="GRUPP/LAG/SKOLA/ETC." dataDxfId="3911"/>
  </tableColumns>
  <tableStyleInfo name="Hallbokningsschema 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2F2B99C-48A5-4CBC-A1DE-88C24F18800D}" name="Tabell9" displayName="Tabell9" ref="A4:F10" totalsRowShown="0" headerRowDxfId="3910" dataDxfId="3909">
  <autoFilter ref="A4:F10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5737254-CD1C-41D9-9686-82844C7723F9}" name="DAG" dataDxfId="3908">
      <calculatedColumnFormula>PROPER(TEXT(B5, "dddd"))</calculatedColumnFormula>
    </tableColumn>
    <tableColumn id="2" xr3:uid="{54015602-E1B6-4FBB-B6BC-915DD86475EB}" name="DATUM" dataDxfId="3907">
      <calculatedColumnFormula>Tisdag2</calculatedColumnFormula>
    </tableColumn>
    <tableColumn id="3" xr3:uid="{9F5A3D88-612E-4ACF-AC22-BF1C46563651}" name="Tid1" dataDxfId="3906"/>
    <tableColumn id="4" xr3:uid="{9BA4D836-2F92-4172-8F96-89A26517B697}" name="TID" dataDxfId="3905"/>
    <tableColumn id="5" xr3:uid="{272731E7-4719-4E6B-9951-9D430030050A}" name="ANTAL" dataDxfId="3904"/>
    <tableColumn id="6" xr3:uid="{567DB428-95A6-4909-A8B5-0E0B95A3A5C9}" name="GRUPP/LAG/SKOLA/ETC." dataDxfId="3903"/>
  </tableColumns>
  <tableStyleInfo name="Hallbokningsschema 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305D309-04AF-4669-8FBF-65398382C3F1}" name="Tabell10" displayName="Tabell10" ref="A11:F17" totalsRowShown="0" headerRowDxfId="3902" dataDxfId="3901">
  <autoFilter ref="A11:F1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75EDF80-BAD1-45E1-8D6D-51139078E51C}" name="DAG" dataDxfId="3900">
      <calculatedColumnFormula>PROPER(TEXT(B12, "dddd"))</calculatedColumnFormula>
    </tableColumn>
    <tableColumn id="2" xr3:uid="{5C776F6C-AEF5-4B36-B094-CB083FD0C8B6}" name="DATUM" dataDxfId="3899">
      <calculatedColumnFormula>Onsdag2</calculatedColumnFormula>
    </tableColumn>
    <tableColumn id="3" xr3:uid="{AB374BF3-D320-4A86-8358-72D71AA5A972}" name="Tid1" dataDxfId="3898"/>
    <tableColumn id="4" xr3:uid="{CB1FCF2C-48F2-446F-80A4-19F03072EF8F}" name="TID" dataDxfId="3897"/>
    <tableColumn id="5" xr3:uid="{9D273C79-D24E-400B-AF97-9BA807CEDE67}" name="ANTAL" dataDxfId="3896"/>
    <tableColumn id="6" xr3:uid="{29638F6A-05C5-4823-BC87-B5AD8E1CDC40}" name="GRUPP/LAG/SKOLA/ETC." dataDxfId="3895"/>
  </tableColumns>
  <tableStyleInfo name="Hallbokningsschema 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92DE46C-D9F0-42F1-978A-A1105CD7E8D3}" name="Tabell11" displayName="Tabell11" ref="A18:F23" totalsRowShown="0" headerRowDxfId="3894" dataDxfId="3893">
  <autoFilter ref="A18:F23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AB552B4-7517-41E1-9456-214C40872DBE}" name="DAG" dataDxfId="3892">
      <calculatedColumnFormula>PROPER(TEXT(B19, "dddd"))</calculatedColumnFormula>
    </tableColumn>
    <tableColumn id="2" xr3:uid="{DA9179A5-6BFA-444A-9013-D3AECE9D8AD7}" name="DATUM" dataDxfId="3891">
      <calculatedColumnFormula>Torsdag2</calculatedColumnFormula>
    </tableColumn>
    <tableColumn id="3" xr3:uid="{76AB08F7-DFCE-4BC8-BEC5-E6F3135A8B6B}" name="Tid1" dataDxfId="3890"/>
    <tableColumn id="4" xr3:uid="{C5EAB920-0168-4F34-A90F-D0F36175D7E1}" name="TID" dataDxfId="3889"/>
    <tableColumn id="5" xr3:uid="{DB06BA20-9272-4472-BCC8-D526EEC150A8}" name="ANTAL" dataDxfId="3888"/>
    <tableColumn id="6" xr3:uid="{9F8799B5-BE82-4A56-9A1C-32B36C350D28}" name="GRUPP/LAG/SKOLA/ETC." dataDxfId="3887"/>
  </tableColumns>
  <tableStyleInfo name="Hallbokningsschema 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42650B3-04FD-4947-9CBB-0F98C5B372D6}" name="Tabell12" displayName="Tabell12" ref="A24:F29" totalsRowShown="0" headerRowDxfId="3886" dataDxfId="3885">
  <autoFilter ref="A24:F29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F7B42DB-F702-4448-9EAB-03677AFCFE9D}" name="DAG" dataDxfId="3884">
      <calculatedColumnFormula>PROPER(TEXT(B25, "dddd"))</calculatedColumnFormula>
    </tableColumn>
    <tableColumn id="2" xr3:uid="{0A31A8F1-1BAD-46A0-95EC-2DA267443689}" name="DATUM" dataDxfId="3883">
      <calculatedColumnFormula>Fredag2</calculatedColumnFormula>
    </tableColumn>
    <tableColumn id="3" xr3:uid="{50CE8B1D-583D-45E8-B31D-8A213C7230AD}" name="Tid1" dataDxfId="3882"/>
    <tableColumn id="4" xr3:uid="{48DDFE3B-1F4F-4815-84F8-E98DB728D1E9}" name="TID" dataDxfId="3881"/>
    <tableColumn id="5" xr3:uid="{B9DDB168-D116-4A15-92C3-4195692E3038}" name="ANTAL" dataDxfId="3880"/>
    <tableColumn id="6" xr3:uid="{E1EED33C-1C13-43C4-A5EE-249001049A8D}" name="GRUPP/LAG/SKOLA/ETC." dataDxfId="3879"/>
  </tableColumns>
  <tableStyleInfo name="Hallbokningsschema 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433FC43-233B-4450-B633-2AC8DC5F4936}" name="Tabell13" displayName="Tabell13" ref="A30:F33" totalsRowShown="0" headerRowDxfId="3878" dataDxfId="3877">
  <autoFilter ref="A30:F3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20B98CA-813A-4133-A3FF-F0C151791D1D}" name="DAG" dataDxfId="3876">
      <calculatedColumnFormula>PROPER(TEXT(B31, "dddd"))</calculatedColumnFormula>
    </tableColumn>
    <tableColumn id="2" xr3:uid="{ADC69B3E-292E-4F5D-8987-5738E2E05700}" name="DATUM" dataDxfId="3875">
      <calculatedColumnFormula>Lördag2</calculatedColumnFormula>
    </tableColumn>
    <tableColumn id="3" xr3:uid="{70EC7174-7A00-444B-A692-A5F9F2728376}" name="Tid1" dataDxfId="3874"/>
    <tableColumn id="4" xr3:uid="{7EEC107E-C63C-44DF-9D0D-9D845941E938}" name="TID" dataDxfId="3873"/>
    <tableColumn id="5" xr3:uid="{DD0718ED-873C-4320-BF69-BEDCBE06DE3B}" name="ANTAL" dataDxfId="3872"/>
    <tableColumn id="6" xr3:uid="{AD7F204D-13C8-4B99-9E65-EAB25EC10ADE}" name="GRUPP/LAG/SKOLA/ETC." dataDxfId="3871"/>
  </tableColumns>
  <tableStyleInfo name="Hallbokningsschema 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DB1423-E755-4EFC-B3A3-8588D1B8E064}" name="Tabell14" displayName="Tabell14" ref="A34:F37" totalsRowShown="0" headerRowDxfId="3870" dataDxfId="3869">
  <autoFilter ref="A34:F3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5:F37">
    <sortCondition ref="C35:C37"/>
  </sortState>
  <tableColumns count="6">
    <tableColumn id="1" xr3:uid="{DE5685B5-A301-4335-9F03-576C77C2A22A}" name="DAG" dataDxfId="3868">
      <calculatedColumnFormula>PROPER(TEXT(B35, "dddd"))</calculatedColumnFormula>
    </tableColumn>
    <tableColumn id="2" xr3:uid="{E2DF15C7-2A39-4A98-96B3-5CE521A915FB}" name="DATUM" dataDxfId="3867">
      <calculatedColumnFormula>Söndag2</calculatedColumnFormula>
    </tableColumn>
    <tableColumn id="3" xr3:uid="{EE5AFCF7-974A-4D82-BD75-D22B60C41E51}" name="Tid1" dataDxfId="3866"/>
    <tableColumn id="4" xr3:uid="{656FC05C-A2A8-48E4-B277-89B545051FCB}" name="TID" dataDxfId="3865"/>
    <tableColumn id="5" xr3:uid="{6AEDE4C9-4D49-4D45-BF94-B415A5ED172D}" name="ANTAL" dataDxfId="3864"/>
    <tableColumn id="6" xr3:uid="{3A469D05-4FED-4851-876E-6B671A3722BB}" name="GRUPP/LAG/SKOLA/ETC." dataDxfId="3863"/>
  </tableColumns>
  <tableStyleInfo name="Hallbokningsschema 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F94308E-13E8-4BE9-BDA7-DBC29595983E}" name="Tabell15" displayName="Tabell15" ref="A2:F6" totalsRowShown="0" headerRowDxfId="3841" dataDxfId="3840">
  <autoFilter ref="A2:F6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30ECE88-6202-43BA-8906-2EA34BB71466}" name="DAG" dataDxfId="3839">
      <calculatedColumnFormula>PROPER(TEXT(B3, "dddd"))</calculatedColumnFormula>
    </tableColumn>
    <tableColumn id="2" xr3:uid="{B0A66117-80CA-49CE-8208-E8DA221A38B1}" name="DATUM" dataDxfId="3838">
      <calculatedColumnFormula>Måndag3</calculatedColumnFormula>
    </tableColumn>
    <tableColumn id="3" xr3:uid="{EFD785C2-C561-4D4B-84A4-F0BE4FE988FE}" name="Tid1" dataDxfId="3837"/>
    <tableColumn id="4" xr3:uid="{48E056BD-7897-4254-B2C4-E712547E493D}" name="TID" dataDxfId="3836"/>
    <tableColumn id="5" xr3:uid="{7E2A9599-5C03-4EC2-8DC6-AB25369FE7A8}" name="ANTAL" dataDxfId="3835"/>
    <tableColumn id="6" xr3:uid="{FD5B6D89-E51A-4935-AB52-43B18224C3F7}" name="GRUPP/LAG/SKOLA/ETC." dataDxfId="3834"/>
  </tableColumns>
  <tableStyleInfo name="Hallbokningsschema 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1D871C3-C82E-4ADC-8079-A6FA8C3912E6}" name="Tabell16" displayName="Tabell16" ref="A7:F12" totalsRowShown="0" headerRowDxfId="3833" dataDxfId="3832">
  <autoFilter ref="A7:F12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299343E-2D4E-4706-AE1F-3690307B3D60}" name="DAG" dataDxfId="3831">
      <calculatedColumnFormula>PROPER(TEXT(B8, "dddd"))</calculatedColumnFormula>
    </tableColumn>
    <tableColumn id="2" xr3:uid="{D054DD8B-BAE9-4F8E-B5D0-150492021359}" name="DATUM" dataDxfId="3830">
      <calculatedColumnFormula>Tisdag3</calculatedColumnFormula>
    </tableColumn>
    <tableColumn id="3" xr3:uid="{35200C34-BBD0-4C9D-B2B4-2145D7F531E6}" name="Tid1" dataDxfId="3829"/>
    <tableColumn id="4" xr3:uid="{1C907740-26DB-4B2D-93F5-75CD20B43967}" name="TID" dataDxfId="3828"/>
    <tableColumn id="5" xr3:uid="{49D021EF-48B5-4BF6-BA32-4AF04E101A69}" name="ANTAL" dataDxfId="3827"/>
    <tableColumn id="6" xr3:uid="{E6AA9FA2-DB5B-4C19-8389-4BECC8ACAB24}" name="GRUPP/LAG/SKOLA/ETC." dataDxfId="3826"/>
  </tableColumns>
  <tableStyleInfo name="Hallbokningsschema 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1B8C04F-50F0-4B34-8C8D-A3C9E30958C4}" name="Tabell17" displayName="Tabell17" ref="A13:F21" totalsRowShown="0" headerRowDxfId="3825" dataDxfId="3824">
  <autoFilter ref="A13:F21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B7F3D77-7BD3-4D15-985C-F48B6BB0D3DB}" name="DAG" dataDxfId="3823">
      <calculatedColumnFormula>PROPER(TEXT(B14, "dddd"))</calculatedColumnFormula>
    </tableColumn>
    <tableColumn id="2" xr3:uid="{C595D09B-3992-44CE-B192-9473F5AC103B}" name="DATUM" dataDxfId="3822">
      <calculatedColumnFormula>Onsdag3</calculatedColumnFormula>
    </tableColumn>
    <tableColumn id="3" xr3:uid="{BE8C96B3-6A73-4F50-B1DC-1461E1E5803D}" name="Tid1" dataDxfId="3821"/>
    <tableColumn id="4" xr3:uid="{86808F1E-EB49-4B42-B92C-080657C41345}" name="TID" dataDxfId="3820"/>
    <tableColumn id="5" xr3:uid="{D6889228-32E2-4976-B622-88954E3395A8}" name="ANTAL" dataDxfId="3819"/>
    <tableColumn id="6" xr3:uid="{6539820E-7384-4985-A1B7-F199BC5BA857}" name="GRUPP/LAG/SKOLA/ETC." dataDxfId="3818"/>
  </tableColumns>
  <tableStyleInfo name="Hallbokningsschema 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B39C849-3EAD-4021-B222-D07942266620}" name="Tabell18" displayName="Tabell18" ref="A22:F28" totalsRowShown="0" headerRowDxfId="3817" dataDxfId="3816">
  <autoFilter ref="A22:F28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BF0C215-C82D-4731-B46A-C6944263B549}" name="DAG" dataDxfId="3815">
      <calculatedColumnFormula>PROPER(TEXT(B23, "dddd"))</calculatedColumnFormula>
    </tableColumn>
    <tableColumn id="2" xr3:uid="{7F2EE76B-A6A6-45F9-811B-E42B8D91F2A9}" name="DATUM" dataDxfId="3814">
      <calculatedColumnFormula>Torsdag3</calculatedColumnFormula>
    </tableColumn>
    <tableColumn id="3" xr3:uid="{BA72A671-565F-48CE-965B-9F9A2BAE53ED}" name="Tid1" dataDxfId="3813"/>
    <tableColumn id="4" xr3:uid="{C6C1F459-8942-4191-9E45-D59B46FB54EA}" name="TID" dataDxfId="3812"/>
    <tableColumn id="5" xr3:uid="{1A6140B2-5107-41D5-97BF-CC061A7EA74C}" name="ANTAL" dataDxfId="3811"/>
    <tableColumn id="6" xr3:uid="{01F3DA02-5E0B-4991-A145-4DD8F9D36E83}" name="GRUPP/LAG/SKOLA/ETC." dataDxfId="3810"/>
  </tableColumns>
  <tableStyleInfo name="Hallbokningsschema 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F305703-46E8-47A4-BC46-00D1713AC709}" name="Tabell19" displayName="Tabell19" ref="A29:F35" totalsRowShown="0" headerRowDxfId="3809" dataDxfId="3808">
  <autoFilter ref="A29:F35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585F4CC-E7A8-45EA-A04F-D474E5780EEB}" name="DAG" dataDxfId="3807">
      <calculatedColumnFormula>PROPER(TEXT(B30, "dddd"))</calculatedColumnFormula>
    </tableColumn>
    <tableColumn id="2" xr3:uid="{EC99D3C6-D98A-46F1-9F70-56558A69521A}" name="DATUM" dataDxfId="3806">
      <calculatedColumnFormula>Fredag3</calculatedColumnFormula>
    </tableColumn>
    <tableColumn id="3" xr3:uid="{D47B9876-0909-428C-B8AD-A9CD350D8603}" name="Tid1" dataDxfId="3805"/>
    <tableColumn id="4" xr3:uid="{23A35251-B3BA-43DB-A50E-160D5D8F5313}" name="TID" dataDxfId="3804"/>
    <tableColumn id="5" xr3:uid="{952BBE6E-DDCE-4644-9B99-B51E1626B7F2}" name="ANTAL" dataDxfId="3803"/>
    <tableColumn id="6" xr3:uid="{E4F415F7-8CE4-4F00-9F50-9D07A028BB6A}" name="GRUPP/LAG/SKOLA/ETC." dataDxfId="3802"/>
  </tableColumns>
  <tableStyleInfo name="Hallbokningsschema 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5A88CF5-A140-44CC-A120-EE5BCB36FCAD}" name="Tabell20" displayName="Tabell20" ref="A36:F37" totalsRowShown="0" headerRowDxfId="3801" dataDxfId="3800">
  <autoFilter ref="A36:F37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7:F37">
    <sortCondition ref="C37"/>
  </sortState>
  <tableColumns count="6">
    <tableColumn id="1" xr3:uid="{F9E2D02A-3C4A-4F33-9575-60AF745E926D}" name="DAG" dataDxfId="3799">
      <calculatedColumnFormula>PROPER(TEXT(B37, "dddd"))</calculatedColumnFormula>
    </tableColumn>
    <tableColumn id="2" xr3:uid="{75D6E67A-FC4F-4910-9013-F4C23B55D221}" name="DATUM" dataDxfId="3798">
      <calculatedColumnFormula>Lördag3</calculatedColumnFormula>
    </tableColumn>
    <tableColumn id="3" xr3:uid="{E3D9ED20-18BD-4AB6-92E6-6F9502060878}" name="Tid1" dataDxfId="3797"/>
    <tableColumn id="4" xr3:uid="{2A0E2E2D-E008-4497-AECE-1C9E63CEA9E0}" name="TID" dataDxfId="3796"/>
    <tableColumn id="5" xr3:uid="{73016E11-EF16-4921-ADEB-24888253700A}" name="ANTAL" dataDxfId="3795"/>
    <tableColumn id="6" xr3:uid="{1D37B48A-E642-4E70-8CE2-306074E5E90D}" name="GRUPP/LAG/SKOLA/ETC." dataDxfId="3794"/>
  </tableColumns>
  <tableStyleInfo name="Hallbokningsschema 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64335AD-D34B-469D-8040-B3400421946B}" name="Tabell21" displayName="Tabell21" ref="A38:F39" totalsRowShown="0" headerRowDxfId="3793" dataDxfId="3792">
  <autoFilter ref="A38:F39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9:F39">
    <sortCondition ref="C39"/>
  </sortState>
  <tableColumns count="6">
    <tableColumn id="1" xr3:uid="{A55EC26D-B840-4DDE-BF59-47F6EC340258}" name="DAG" dataDxfId="3791">
      <calculatedColumnFormula>PROPER(TEXT(B39, "dddd"))</calculatedColumnFormula>
    </tableColumn>
    <tableColumn id="2" xr3:uid="{965ECD3F-07D8-4E21-82D3-57487E903881}" name="DATUM" dataDxfId="3790">
      <calculatedColumnFormula>Söndag3</calculatedColumnFormula>
    </tableColumn>
    <tableColumn id="3" xr3:uid="{175516A1-B3E4-4683-84FD-FFB4F60B8E10}" name="Tid1" dataDxfId="3789"/>
    <tableColumn id="4" xr3:uid="{9441F73B-2710-4F1E-B8F0-954C3108C714}" name="TID" dataDxfId="3788"/>
    <tableColumn id="5" xr3:uid="{1A67B4E4-78BD-444A-B9D6-745D4265EC64}" name="ANTAL" dataDxfId="3787"/>
    <tableColumn id="6" xr3:uid="{5B137909-C454-4BEC-9548-85CEF107937E}" name="GRUPP/LAG/SKOLA/ETC." dataDxfId="3786"/>
  </tableColumns>
  <tableStyleInfo name="Hallbokningsschema 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44F5457-3985-4060-803E-74BD664EA96F}" name="Tabell127" displayName="Tabell127" ref="A2:F6" totalsRowShown="0" headerRowDxfId="3755" dataDxfId="3754">
  <autoFilter ref="A2:F6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6">
    <sortCondition ref="C3:C6"/>
  </sortState>
  <tableColumns count="6">
    <tableColumn id="1" xr3:uid="{E2D8A9D0-FD6B-4146-A549-C01F9845036A}" name="DAG" dataDxfId="3753">
      <calculatedColumnFormula>PROPER(TEXT(B3, "dddd"))</calculatedColumnFormula>
    </tableColumn>
    <tableColumn id="2" xr3:uid="{60C7DD63-67FD-4269-8BD6-8DA18905849B}" name="DATUM" dataDxfId="3752">
      <calculatedColumnFormula>Måndag4</calculatedColumnFormula>
    </tableColumn>
    <tableColumn id="3" xr3:uid="{B3F7B28C-2F54-446C-9A73-CCC661ECDCAD}" name="Tid1" dataDxfId="3751"/>
    <tableColumn id="4" xr3:uid="{71486459-0195-4940-8BEB-D0A6E53C9910}" name="TID" dataDxfId="3750"/>
    <tableColumn id="5" xr3:uid="{504927BF-9F09-4AD3-B846-42ACC1015BF6}" name="ANTAL" dataDxfId="3749"/>
    <tableColumn id="6" xr3:uid="{A9472011-FD03-40BB-B4DA-3F52806505E0}" name="GRUPP/LAG/SKOLA/ETC." dataDxfId="3748"/>
  </tableColumns>
  <tableStyleInfo name="Hallbokningsschema 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8CC0B3A-CD7C-46DF-B6C3-94DE23AF6E16}" name="Tabell228" displayName="Tabell228" ref="A7:F13" totalsRowShown="0" headerRowDxfId="3747" dataDxfId="3746">
  <autoFilter ref="A7:F13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8:F13">
    <sortCondition ref="C8:C13"/>
  </sortState>
  <tableColumns count="6">
    <tableColumn id="1" xr3:uid="{C303A510-4F19-40E3-932C-D31E6449D290}" name="DAG" dataDxfId="3745">
      <calculatedColumnFormula>PROPER(TEXT(B8, "dddd"))</calculatedColumnFormula>
    </tableColumn>
    <tableColumn id="2" xr3:uid="{FACE09B8-5EE4-4F32-8E1A-279F6DFF57E4}" name="DATUM" dataDxfId="3744">
      <calculatedColumnFormula>Tisdag4</calculatedColumnFormula>
    </tableColumn>
    <tableColumn id="3" xr3:uid="{1D6D6908-52D8-4AA3-927E-AA0D458979FC}" name="Tid1" dataDxfId="3743"/>
    <tableColumn id="4" xr3:uid="{A7AB1353-3053-4F74-B705-F0259E8FA4E6}" name="TID" dataDxfId="3742"/>
    <tableColumn id="5" xr3:uid="{B43AEA61-FBFC-4400-A6B4-6AA7471D8762}" name="ANTAL" dataDxfId="3741"/>
    <tableColumn id="6" xr3:uid="{B09A03F2-9090-4AAB-B92D-44B73FAC5D51}" name="GRUPP/LAG/SKOLA/ETC." dataDxfId="3740"/>
  </tableColumns>
  <tableStyleInfo name="Hallbokningsschema 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D9940F5-4831-481C-B650-0ED346CCFDC1}" name="Tabell329" displayName="Tabell329" ref="A14:F22" totalsRowShown="0" headerRowDxfId="3739" dataDxfId="3738">
  <autoFilter ref="A14:F22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17CD781-AC80-4C53-B7DA-208CA9434118}" name="DAG" dataDxfId="3737">
      <calculatedColumnFormula>PROPER(TEXT(B15, "dddd"))</calculatedColumnFormula>
    </tableColumn>
    <tableColumn id="2" xr3:uid="{FAB3F970-6CA6-4E34-891C-6E6ECAF4BB20}" name="DATUM" dataDxfId="3736">
      <calculatedColumnFormula>Onsdag4</calculatedColumnFormula>
    </tableColumn>
    <tableColumn id="3" xr3:uid="{EC117DD9-8275-40BB-B67D-3B7E9373F4D9}" name="Tid1" dataDxfId="3735"/>
    <tableColumn id="4" xr3:uid="{6522F6DF-E8E9-4F91-A920-180B93B00A16}" name="TID" dataDxfId="3734"/>
    <tableColumn id="5" xr3:uid="{511177E9-7758-495F-A81E-6ED99673A53D}" name="ANTAL" dataDxfId="3733"/>
    <tableColumn id="6" xr3:uid="{A19847B5-E20D-4EEE-835D-288CBA0B0648}" name="GRUPP/LAG/SKOLA/ETC." dataDxfId="3732"/>
  </tableColumns>
  <tableStyleInfo name="Hallbokningsschema 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60E5BD-4DAB-4854-AEB7-E52C96D3779F}" name="Tabell430" displayName="Tabell430" ref="A23:F31" totalsRowShown="0" headerRowDxfId="3731" dataDxfId="3730">
  <autoFilter ref="A23:F31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95BFC8A-4AD5-4AA7-B664-06E4647495B7}" name="DAG" dataDxfId="3729">
      <calculatedColumnFormula>PROPER(TEXT(B24, "dddd"))</calculatedColumnFormula>
    </tableColumn>
    <tableColumn id="2" xr3:uid="{4D09BC2B-E70E-4D6C-8EF8-8F4B59698975}" name="DATUM" dataDxfId="3728">
      <calculatedColumnFormula>Torsdag4</calculatedColumnFormula>
    </tableColumn>
    <tableColumn id="3" xr3:uid="{79AF4E16-5CB4-41D7-8196-51A54F7D3EA1}" name="Tid1" dataDxfId="3727"/>
    <tableColumn id="4" xr3:uid="{3E0B04C3-498D-4596-9D28-BD9E10A10499}" name="TID" dataDxfId="3726"/>
    <tableColumn id="5" xr3:uid="{5E9CD4E2-F8D0-4B15-8F16-EF9FC2C5AC7A}" name="ANTAL" dataDxfId="3725"/>
    <tableColumn id="6" xr3:uid="{142F7D82-E86F-4601-9EBE-301B5C8A73E5}" name="GRUPP/LAG/SKOLA/ETC." dataDxfId="3724"/>
  </tableColumns>
  <tableStyleInfo name="Hallbokningsschema 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1B7E39A-F138-44C2-8CFB-CEC4CEEBBB62}" name="Tabell531" displayName="Tabell531" ref="A32:F37" totalsRowShown="0" headerRowDxfId="3723" dataDxfId="3722">
  <autoFilter ref="A32:F37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2BF5DF0-A8A2-4C31-B1CF-7CA7E1BADCE4}" name="DAG" dataDxfId="3721">
      <calculatedColumnFormula>PROPER(TEXT(B33, "dddd"))</calculatedColumnFormula>
    </tableColumn>
    <tableColumn id="2" xr3:uid="{6216AE21-D71A-4912-BE12-CF7D3D493851}" name="DATUM" dataDxfId="3720">
      <calculatedColumnFormula>Fredag4</calculatedColumnFormula>
    </tableColumn>
    <tableColumn id="3" xr3:uid="{54A17D8F-77FB-4159-ABE3-1435B7BDD9D2}" name="Tid1" dataDxfId="3719"/>
    <tableColumn id="4" xr3:uid="{153A9DA4-6F1B-4E91-A0F1-9F10763D10DD}" name="TID" dataDxfId="3718"/>
    <tableColumn id="5" xr3:uid="{C736E9B1-545D-4EB3-B081-526E402BDC61}" name="ANTAL" dataDxfId="3717"/>
    <tableColumn id="6" xr3:uid="{3814975E-5B95-4EC0-8717-688E5EE24499}" name="GRUPP/LAG/SKOLA/ETC." dataDxfId="3716"/>
  </tableColumns>
  <tableStyleInfo name="Hallbokningsschema 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6DC07B0-FE30-4064-8B37-6C2ABA67C13F}" name="Tabell632" displayName="Tabell632" ref="A38:F39" totalsRowShown="0" headerRowDxfId="3715" dataDxfId="3714">
  <autoFilter ref="A38:F39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E19BFA3-263D-46F5-A663-B0B531021E9A}" name="DAG" dataDxfId="3713">
      <calculatedColumnFormula>PROPER(TEXT(B39, "dddd"))</calculatedColumnFormula>
    </tableColumn>
    <tableColumn id="2" xr3:uid="{FBB714BC-B352-456C-9D09-BC80BCD991D2}" name="DATUM" dataDxfId="3712">
      <calculatedColumnFormula>Lördag4</calculatedColumnFormula>
    </tableColumn>
    <tableColumn id="3" xr3:uid="{950341E4-28A1-4CB0-B6EE-F52837A203C2}" name="Tid1" dataDxfId="3711"/>
    <tableColumn id="4" xr3:uid="{7F2ABCC0-144B-4D3C-8868-4C5743C14290}" name="TID" dataDxfId="3710"/>
    <tableColumn id="5" xr3:uid="{7007F414-8974-46A4-B58B-6FEB4B921390}" name="ANTAL" dataDxfId="3709"/>
    <tableColumn id="6" xr3:uid="{67040F59-63DB-482D-B1B5-9E846976C8A6}" name="GRUPP/LAG/SKOLA/ETC." dataDxfId="3708"/>
  </tableColumns>
  <tableStyleInfo name="Hallbokningsschema 2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234D634-CF8B-4B9A-AB1C-723F00330AF3}" name="Tabell733" displayName="Tabell733" ref="A40:F42" totalsRowShown="0" headerRowDxfId="3707" dataDxfId="3706">
  <autoFilter ref="A40:F42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C69024D-11B0-4319-8ACB-D9705D264477}" name="DAG" dataDxfId="3705">
      <calculatedColumnFormula>PROPER(TEXT(B41, "dddd"))</calculatedColumnFormula>
    </tableColumn>
    <tableColumn id="2" xr3:uid="{5DB1E74F-F6B0-4BEC-909C-2C2929443A23}" name="DATUM" dataDxfId="3704">
      <calculatedColumnFormula>Söndag4</calculatedColumnFormula>
    </tableColumn>
    <tableColumn id="3" xr3:uid="{B6F5FF0D-9A83-4998-A92A-82066CE7F16A}" name="Tid1" dataDxfId="3703"/>
    <tableColumn id="4" xr3:uid="{19741D4A-C78D-4E43-829F-8D3AF86870D2}" name="TID" dataDxfId="3702"/>
    <tableColumn id="5" xr3:uid="{C908CA5C-0ECD-4984-B223-75E4BF0115A6}" name="ANTAL" dataDxfId="3701"/>
    <tableColumn id="6" xr3:uid="{D2215CAF-F4F1-4D24-9EE7-9647DD912B4C}" name="GRUPP/LAG/SKOLA/ETC." dataDxfId="3700"/>
  </tableColumns>
  <tableStyleInfo name="Hallbokningsschema 2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68176A6F-66BA-4E21-88C8-AAF13EE4B0DF}" name="Tabell1273476839097104111118125132" displayName="Tabell1273476839097104111118125132" ref="A2:F7" totalsRowShown="0" headerRowDxfId="3672" dataDxfId="3671">
  <autoFilter ref="A2:F7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7">
    <sortCondition ref="C3:C7"/>
  </sortState>
  <tableColumns count="6">
    <tableColumn id="1" xr3:uid="{0458C082-547C-4CCC-BC19-7516A2C9C94F}" name="DAG" dataDxfId="3670">
      <calculatedColumnFormula>PROPER(TEXT(B3, "dddd"))</calculatedColumnFormula>
    </tableColumn>
    <tableColumn id="2" xr3:uid="{22A01740-2C52-4902-B091-B82262B6D9A5}" name="DATUM" dataDxfId="3669">
      <calculatedColumnFormula>Måndag5</calculatedColumnFormula>
    </tableColumn>
    <tableColumn id="3" xr3:uid="{E8147BE0-BB57-4599-A3D5-DD3F6675C004}" name="Tid1" dataDxfId="3668"/>
    <tableColumn id="4" xr3:uid="{F05B9B56-DC5A-455E-8A1F-60C87E150B88}" name="TID" dataDxfId="3667"/>
    <tableColumn id="5" xr3:uid="{B6B94F2F-0FCC-405A-ACCC-D4B48DB6219E}" name="ANTAL" dataDxfId="3666"/>
    <tableColumn id="6" xr3:uid="{F2657CB7-CE41-4EB0-830F-0DF95DF76A89}" name="GRUPP/LAG/SKOLA/ETC." dataDxfId="3665"/>
  </tableColumns>
  <tableStyleInfo name="Hallbokningsschema 2"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EA06C095-DBDE-49BA-884F-220940A2D2A6}" name="Tabell2283577849198105112119126133" displayName="Tabell2283577849198105112119126133" ref="A8:F15" totalsRowShown="0" headerRowDxfId="3664" dataDxfId="3663">
  <autoFilter ref="A8:F1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9:F15">
    <sortCondition ref="C9:C15"/>
  </sortState>
  <tableColumns count="6">
    <tableColumn id="1" xr3:uid="{0FDC4A66-EEF3-4650-B649-CA15C509161D}" name="DAG" dataDxfId="3662">
      <calculatedColumnFormula>PROPER(TEXT(B9, "dddd"))</calculatedColumnFormula>
    </tableColumn>
    <tableColumn id="2" xr3:uid="{FFE45098-F380-45B7-9A02-3FA1DE37C5C0}" name="DATUM" dataDxfId="3661">
      <calculatedColumnFormula>Tisdag5</calculatedColumnFormula>
    </tableColumn>
    <tableColumn id="3" xr3:uid="{BA638B96-8BF7-4095-A230-E8F7D2DB8216}" name="Tid1" dataDxfId="3660"/>
    <tableColumn id="4" xr3:uid="{D657CAC4-9610-4A79-ACE0-B40BE2E86BEA}" name="TID" dataDxfId="3659"/>
    <tableColumn id="5" xr3:uid="{0A510A1A-2E50-4D48-9809-C80728DFC595}" name="ANTAL" dataDxfId="3658"/>
    <tableColumn id="6" xr3:uid="{083842A0-9BA7-4148-8681-211950D5EFAB}" name="GRUPP/LAG/SKOLA/ETC." dataDxfId="3657"/>
  </tableColumns>
  <tableStyleInfo name="Hallbokningsschema 2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6E5CDBFD-11E1-4938-B7A0-09B533AC4CD2}" name="Tabell3293678859299106113120127134" displayName="Tabell3293678859299106113120127134" ref="A16:F25" totalsRowShown="0" headerRowDxfId="3656" dataDxfId="3655">
  <autoFilter ref="A16:F25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7:F25">
    <sortCondition ref="C17:C25"/>
  </sortState>
  <tableColumns count="6">
    <tableColumn id="1" xr3:uid="{CF9D409B-5256-4DDF-A0A6-D7B158BE580F}" name="DAG" dataDxfId="3654">
      <calculatedColumnFormula>PROPER(TEXT(B17, "dddd"))</calculatedColumnFormula>
    </tableColumn>
    <tableColumn id="2" xr3:uid="{37BF6BF9-FB3C-45A9-9037-CAB1C123C099}" name="DATUM" dataDxfId="3653">
      <calculatedColumnFormula>Onsdag5</calculatedColumnFormula>
    </tableColumn>
    <tableColumn id="3" xr3:uid="{35922F87-DE6E-40BE-9841-E1674483AADD}" name="Tid1" dataDxfId="3652"/>
    <tableColumn id="4" xr3:uid="{75D37EB8-B82A-4A5F-8B6B-2F023A13354E}" name="TID" dataDxfId="3651"/>
    <tableColumn id="5" xr3:uid="{3006B8B1-AAB1-4628-9A25-90ABA0ACD904}" name="ANTAL" dataDxfId="3650"/>
    <tableColumn id="6" xr3:uid="{BB5FE4EB-D6D3-4A36-8699-7666550DAE31}" name="GRUPP/LAG/SKOLA/ETC." dataDxfId="3649"/>
  </tableColumns>
  <tableStyleInfo name="Hallbokningsschema 2" showFirstColumn="0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DD4CA180-522A-4803-B270-243C3D6C9F70}" name="Tabell43037798693100107114121128135" displayName="Tabell43037798693100107114121128135" ref="A26:F31" totalsRowShown="0" headerRowDxfId="3648" dataDxfId="3647">
  <autoFilter ref="A26:F31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0953774-B45A-4CC0-A553-15C7DC6490E7}" name="DAG" dataDxfId="3646">
      <calculatedColumnFormula>PROPER(TEXT(B27, "dddd"))</calculatedColumnFormula>
    </tableColumn>
    <tableColumn id="2" xr3:uid="{E0A7A495-208F-4125-B1DE-4D01458B21B1}" name="DATUM" dataDxfId="3645">
      <calculatedColumnFormula>Torsdag5</calculatedColumnFormula>
    </tableColumn>
    <tableColumn id="3" xr3:uid="{F221B4BB-1F0A-4659-A5B7-A3165F16569F}" name="Tid1" dataDxfId="3644"/>
    <tableColumn id="4" xr3:uid="{ECC15411-74CB-4300-8DA7-41CAB6F60B7F}" name="TID" dataDxfId="3643"/>
    <tableColumn id="5" xr3:uid="{3B8AD3ED-6E61-462F-91F7-677F7B648F21}" name="ANTAL" dataDxfId="3642"/>
    <tableColumn id="6" xr3:uid="{057AD11D-8630-474D-8385-17D4420777AE}" name="GRUPP/LAG/SKOLA/ETC." dataDxfId="3641"/>
  </tableColumns>
  <tableStyleInfo name="Hallbokningsschema 2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45B3A3A5-F351-4169-A203-528796DBADFB}" name="Tabell53138808794101108115122129136" displayName="Tabell53138808794101108115122129136" ref="A32:F39" totalsRowShown="0" headerRowDxfId="3640" dataDxfId="3639">
  <autoFilter ref="A32:F39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3:F39">
    <sortCondition ref="C33:C39"/>
  </sortState>
  <tableColumns count="6">
    <tableColumn id="1" xr3:uid="{C8CC34DF-E460-4550-8AAD-4B515E2F8C59}" name="DAG" dataDxfId="3638">
      <calculatedColumnFormula>PROPER(TEXT(B33, "dddd"))</calculatedColumnFormula>
    </tableColumn>
    <tableColumn id="2" xr3:uid="{E60A3C6E-CF04-4352-8235-4BAA46A891F5}" name="DATUM" dataDxfId="3637">
      <calculatedColumnFormula>Fredag5</calculatedColumnFormula>
    </tableColumn>
    <tableColumn id="3" xr3:uid="{77EF9139-389E-4615-A1D2-40201488E2BE}" name="Tid1" dataDxfId="3636"/>
    <tableColumn id="4" xr3:uid="{062257FA-5626-4D16-9779-1E3D15FA21D3}" name="TID" dataDxfId="3635"/>
    <tableColumn id="5" xr3:uid="{0DCF0E3F-8A8D-4112-843C-C4BCA76DA6D2}" name="ANTAL" dataDxfId="3634"/>
    <tableColumn id="6" xr3:uid="{CF833EED-30C7-40FD-B482-51A675FDD980}" name="GRUPP/LAG/SKOLA/ETC." dataDxfId="3633"/>
  </tableColumns>
  <tableStyleInfo name="Hallbokningsschema 2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C74E5E86-BF61-4F57-AF81-8E1A7C2392BA}" name="Tabell63239818895102109116123130137" displayName="Tabell63239818895102109116123130137" ref="A40:F44" totalsRowShown="0" headerRowDxfId="3632" dataDxfId="3631">
  <autoFilter ref="A40:F44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D458D1E-8584-41B5-9BBD-C461963B4856}" name="DAG" dataDxfId="3630">
      <calculatedColumnFormula>PROPER(TEXT(B41, "dddd"))</calculatedColumnFormula>
    </tableColumn>
    <tableColumn id="2" xr3:uid="{F4E57948-39DB-4BC3-9423-8CAA97334B6D}" name="DATUM" dataDxfId="3629">
      <calculatedColumnFormula>Lördag5</calculatedColumnFormula>
    </tableColumn>
    <tableColumn id="3" xr3:uid="{A31ECBFC-CE9B-4276-9114-4511A8F351FC}" name="Tid1" dataDxfId="3628"/>
    <tableColumn id="4" xr3:uid="{DF67DF8E-0F31-43B5-94F8-9C4DF3CD4217}" name="TID" dataDxfId="3627"/>
    <tableColumn id="5" xr3:uid="{10E1B3BC-4E14-4AE9-A408-19C62BB7EBC6}" name="ANTAL" dataDxfId="3626"/>
    <tableColumn id="6" xr3:uid="{25573E56-E157-4B3F-A14C-9894C766E690}" name="GRUPP/LAG/SKOLA/ETC." dataDxfId="3625"/>
  </tableColumns>
  <tableStyleInfo name="Hallbokningsschema 2" showFirstColumn="0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4B65DBC9-E125-4917-BB0C-A4AA8E53D01D}" name="Tabell73340828996103110117124131138" displayName="Tabell73340828996103110117124131138" ref="A45:F47" totalsRowShown="0" headerRowDxfId="3624" dataDxfId="3623">
  <autoFilter ref="A45:F4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E93FC17-3100-4F1C-A3B4-36745FA8AEF6}" name="DAG" dataDxfId="3622">
      <calculatedColumnFormula>PROPER(TEXT(B46, "dddd"))</calculatedColumnFormula>
    </tableColumn>
    <tableColumn id="2" xr3:uid="{0B6415A7-9152-43D7-8015-02CE905E7065}" name="DATUM" dataDxfId="3621">
      <calculatedColumnFormula>Söndag5</calculatedColumnFormula>
    </tableColumn>
    <tableColumn id="3" xr3:uid="{7D741365-0705-4FC2-A861-646D5BCAA8EE}" name="Tid1" dataDxfId="3620"/>
    <tableColumn id="4" xr3:uid="{957F4332-06AB-4284-81E6-8CDC7EE0E305}" name="TID" dataDxfId="3619"/>
    <tableColumn id="5" xr3:uid="{C03C81E4-81F0-409F-AC63-12FAAF987B05}" name="ANTAL" dataDxfId="3618"/>
    <tableColumn id="6" xr3:uid="{39D984EC-37FB-4946-9FCD-36F2997E8836}" name="GRUPP/LAG/SKOLA/ETC." dataDxfId="3617"/>
  </tableColumns>
  <tableStyleInfo name="Hallbokningsschema 2" showFirstColumn="0" showLastColumn="0" showRowStripes="0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38D5E31-1267-445A-8EC1-AA7EAE43E19C}" name="Tabell162" displayName="Tabell162" ref="A2:F6" totalsRowShown="0" headerRowDxfId="3590" dataDxfId="3589">
  <autoFilter ref="A2:F6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7C307BC-1A87-4C82-AC70-2BD2478C0140}" name="DAG" dataDxfId="3588">
      <calculatedColumnFormula>PROPER(TEXT(B3, "dddd"))</calculatedColumnFormula>
    </tableColumn>
    <tableColumn id="2" xr3:uid="{50C3F8A6-EF68-4FF6-879E-B9536549C2E3}" name="DATUM" dataDxfId="3587">
      <calculatedColumnFormula>Måndag6</calculatedColumnFormula>
    </tableColumn>
    <tableColumn id="3" xr3:uid="{8778D444-34F6-4A9B-ABEC-0B40E330E997}" name="Tid1" dataDxfId="3586"/>
    <tableColumn id="4" xr3:uid="{F29F40F6-0DDA-4FC3-86B3-6BCE975D6687}" name="TID" dataDxfId="3585"/>
    <tableColumn id="5" xr3:uid="{4B4853D9-CAB4-44CE-B8F4-28FC77D0EED4}" name="ANTAL" dataDxfId="3584"/>
    <tableColumn id="6" xr3:uid="{738BE482-525C-4246-89B3-7ACA7AD61006}" name="GRUPP/LAG/SKOLA/ETC." dataDxfId="3583"/>
  </tableColumns>
  <tableStyleInfo name="Hallbokningsschema 2" showFirstColumn="0" showLastColumn="0" showRowStripes="0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EDC3BFB-C969-41FA-ACE8-1FC4B55BAC94}" name="Tabell263" displayName="Tabell263" ref="A7:F12" totalsRowShown="0" headerRowDxfId="3582" dataDxfId="3581">
  <autoFilter ref="A7:F12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AE28C22-862B-4009-8085-B4AC0EBEF59D}" name="DAG" dataDxfId="3580">
      <calculatedColumnFormula>PROPER(TEXT(B8, "dddd"))</calculatedColumnFormula>
    </tableColumn>
    <tableColumn id="2" xr3:uid="{BBC77E8D-7057-4D67-95A6-8A96209F79DA}" name="DATUM" dataDxfId="3579">
      <calculatedColumnFormula>Tisdag6</calculatedColumnFormula>
    </tableColumn>
    <tableColumn id="3" xr3:uid="{911E4E2E-AE67-48DA-83CB-9890BE591590}" name="Tid1" dataDxfId="3578"/>
    <tableColumn id="4" xr3:uid="{8F715811-A01D-41CF-A860-0B202B1CB080}" name="TID" dataDxfId="3577"/>
    <tableColumn id="5" xr3:uid="{9680D844-56B4-435B-9332-AAFDBBE25F9E}" name="ANTAL" dataDxfId="3576"/>
    <tableColumn id="6" xr3:uid="{84346C11-7F26-4E72-8312-9B041AE9EC13}" name="GRUPP/LAG/SKOLA/ETC." dataDxfId="3575"/>
  </tableColumns>
  <tableStyleInfo name="Hallbokningsschema 2" showFirstColumn="0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14FD6EF-1D59-4323-8765-381BD6BAF8D4}" name="Tabell364" displayName="Tabell364" ref="A13:F21" totalsRowShown="0" headerRowDxfId="3574" dataDxfId="3573">
  <autoFilter ref="A13:F21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12186BC-4AAE-4C8C-A16F-00C1F5A30D2A}" name="DAG" dataDxfId="3572">
      <calculatedColumnFormula>PROPER(TEXT(B14, "dddd"))</calculatedColumnFormula>
    </tableColumn>
    <tableColumn id="2" xr3:uid="{EDEB4A00-B7ED-45F2-85DB-D068E808FA42}" name="DATUM" dataDxfId="3571">
      <calculatedColumnFormula>Onsdag6</calculatedColumnFormula>
    </tableColumn>
    <tableColumn id="3" xr3:uid="{9378631E-D719-4905-ABA3-D347F7BA3A0D}" name="Tid1" dataDxfId="3570"/>
    <tableColumn id="4" xr3:uid="{FB79992A-514E-482C-96D5-A814295A4B4F}" name="TID" dataDxfId="3569"/>
    <tableColumn id="5" xr3:uid="{686F4EB8-6845-42EF-ADC2-1BCEA0612B0C}" name="ANTAL" dataDxfId="3568"/>
    <tableColumn id="6" xr3:uid="{ACAE9587-A73E-4D10-8EA1-83BB4CF4275F}" name="GRUPP/LAG/SKOLA/ETC." dataDxfId="3567"/>
  </tableColumns>
  <tableStyleInfo name="Hallbokningsschema 2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94F1E631-1699-4E72-B0F2-46353C2F1B09}" name="Tabell465" displayName="Tabell465" ref="A22:F30" totalsRowShown="0" headerRowDxfId="3566" dataDxfId="3565">
  <autoFilter ref="A22:F30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FAAB735-DC7D-4B74-8508-8AE421B5BC28}" name="DAG" dataDxfId="3564">
      <calculatedColumnFormula>PROPER(TEXT(B23, "dddd"))</calculatedColumnFormula>
    </tableColumn>
    <tableColumn id="2" xr3:uid="{8EF2A130-7140-4045-AB29-143620E64BE0}" name="DATUM" dataDxfId="3563">
      <calculatedColumnFormula>Torsdag6</calculatedColumnFormula>
    </tableColumn>
    <tableColumn id="3" xr3:uid="{AEA37FF4-7B20-45B6-B103-179482EF319D}" name="Tid1" dataDxfId="3562"/>
    <tableColumn id="4" xr3:uid="{D2187C45-89E5-4B9D-9E2D-061E4528D9EF}" name="TID" dataDxfId="3561"/>
    <tableColumn id="5" xr3:uid="{7DD01B80-A530-4B3B-B376-A67F1DC8C21D}" name="ANTAL" dataDxfId="3560"/>
    <tableColumn id="6" xr3:uid="{5B77A88E-94B3-4E2A-BAF3-26B625027C7C}" name="GRUPP/LAG/SKOLA/ETC." dataDxfId="3559"/>
  </tableColumns>
  <tableStyleInfo name="Hallbokningsschema 2" showFirstColumn="0" showLastColumn="0" showRowStripes="0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35C2599E-5E77-47EC-98D8-3A4CEAF138DD}" name="Tabell566" displayName="Tabell566" ref="A31:F38" totalsRowShown="0" headerRowDxfId="3558" dataDxfId="3557">
  <autoFilter ref="A31:F38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7532057-5CC6-4C37-896D-193024045D5C}" name="DAG" dataDxfId="3556">
      <calculatedColumnFormula>PROPER(TEXT(B32, "dddd"))</calculatedColumnFormula>
    </tableColumn>
    <tableColumn id="2" xr3:uid="{1553E0C0-C9D8-4337-8141-7A68863663FC}" name="DATUM" dataDxfId="3555">
      <calculatedColumnFormula>Fredag6</calculatedColumnFormula>
    </tableColumn>
    <tableColumn id="3" xr3:uid="{D013BA68-BBFB-4E81-948F-C6DFBB3C497A}" name="Tid1" dataDxfId="3554"/>
    <tableColumn id="4" xr3:uid="{14147F25-2001-430D-BAD9-8A16439D1EBB}" name="TID" dataDxfId="3553"/>
    <tableColumn id="5" xr3:uid="{58B34B7F-6FE5-4CFA-9AD7-424DDE42DCF8}" name="ANTAL" dataDxfId="3552"/>
    <tableColumn id="6" xr3:uid="{A4CEFCE2-A7D9-41AD-AD19-E3E79FFE3657}" name="GRUPP/LAG/SKOLA/ETC." dataDxfId="3551"/>
  </tableColumns>
  <tableStyleInfo name="Hallbokningsschema 2" showFirstColumn="0" showLastColumn="0" showRowStripes="0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CF29A849-0365-427B-ADBA-4533A83B44A2}" name="Tabell667" displayName="Tabell667" ref="A39:F43" totalsRowShown="0" headerRowDxfId="3550" dataDxfId="3549">
  <autoFilter ref="A39:F4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0D93DA2-23AF-4D76-80BD-6007DDFB033C}" name="DAG" dataDxfId="3548">
      <calculatedColumnFormula>PROPER(TEXT(B40, "dddd"))</calculatedColumnFormula>
    </tableColumn>
    <tableColumn id="2" xr3:uid="{C6DABD65-07DC-4927-A716-9D6A33B5AB30}" name="DATUM" dataDxfId="3547">
      <calculatedColumnFormula>Lördag6</calculatedColumnFormula>
    </tableColumn>
    <tableColumn id="3" xr3:uid="{672E5663-04EF-473D-9D04-AD51CC36D411}" name="Tid1" dataDxfId="3546"/>
    <tableColumn id="4" xr3:uid="{0DD4CBA5-24BA-495F-821C-D5234610370D}" name="TID" dataDxfId="3545"/>
    <tableColumn id="5" xr3:uid="{D60EE0AA-ED1F-4F6D-B289-C4868B041663}" name="ANTAL" dataDxfId="3544"/>
    <tableColumn id="6" xr3:uid="{E7BBE42B-F823-4186-98F6-3C848BE3D874}" name="GRUPP/LAG/SKOLA/ETC." dataDxfId="3543"/>
  </tableColumns>
  <tableStyleInfo name="Hallbokningsschema 2" showFirstColumn="0" showLastColumn="0" showRowStripes="0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43477B46-429F-4F6A-BB0F-384A76B6E946}" name="Tabell768" displayName="Tabell768" ref="A44:F45" totalsRowShown="0" headerRowDxfId="3542" dataDxfId="3541">
  <autoFilter ref="A44:F4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B74BD06-F807-44F5-8CE1-7F9444718892}" name="DAG" dataDxfId="3540">
      <calculatedColumnFormula>PROPER(TEXT(B45, "dddd"))</calculatedColumnFormula>
    </tableColumn>
    <tableColumn id="2" xr3:uid="{8305BFB2-435C-46DD-B171-0521CB4B4458}" name="DATUM" dataDxfId="3539">
      <calculatedColumnFormula>Söndag6</calculatedColumnFormula>
    </tableColumn>
    <tableColumn id="3" xr3:uid="{1E9E43D7-951C-4F46-BC34-F77D2ED986B8}" name="Tid1" dataDxfId="3538"/>
    <tableColumn id="4" xr3:uid="{65E18B8D-4B50-42D3-B25C-CA44402C1AE7}" name="TID" dataDxfId="3537"/>
    <tableColumn id="5" xr3:uid="{DB4F7E2A-BA28-4762-B99D-48EFD7A93A9E}" name="ANTAL" dataDxfId="3536"/>
    <tableColumn id="6" xr3:uid="{CBEDDEA3-C62A-48E6-A688-E36DDE672DE4}" name="GRUPP/LAG/SKOLA/ETC." dataDxfId="3535"/>
  </tableColumns>
  <tableStyleInfo name="Hallbokningsschema 2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9D8E4BDF-6D00-4EED-996F-4C30B6707316}" name="Tabell16269" displayName="Tabell16269" ref="A2:F6" totalsRowShown="0" headerRowDxfId="3506" dataDxfId="3505">
  <autoFilter ref="A2:F6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C5750BB-8FA5-40CE-922C-D7E9EB253837}" name="DAG" dataDxfId="3504">
      <calculatedColumnFormula>PROPER(TEXT(B3, "dddd"))</calculatedColumnFormula>
    </tableColumn>
    <tableColumn id="2" xr3:uid="{EB811215-2A35-4041-B76D-57821E941ED2}" name="DATUM" dataDxfId="3503">
      <calculatedColumnFormula>Måndag7</calculatedColumnFormula>
    </tableColumn>
    <tableColumn id="3" xr3:uid="{492E5176-EE10-4D6C-AD4C-A369ED6BE777}" name="Tid1" dataDxfId="3502"/>
    <tableColumn id="4" xr3:uid="{39B0FEF3-A616-4DC5-B456-70891F3B9E43}" name="TID" dataDxfId="3501"/>
    <tableColumn id="5" xr3:uid="{08727A9B-FDA7-4C2C-BB0E-CA260B50D701}" name="ANTAL" dataDxfId="3500"/>
    <tableColumn id="6" xr3:uid="{41AC1419-B0C8-4F12-BE15-6D2769F78F1B}" name="GRUPP/LAG/SKOLA/ETC." dataDxfId="3499"/>
  </tableColumns>
  <tableStyleInfo name="Hallbokningsschema 2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E09374B-AFEE-443F-AB75-DB67A7D5F2B2}" name="Tabell26370" displayName="Tabell26370" ref="A7:F13" totalsRowShown="0" headerRowDxfId="3498" dataDxfId="3497">
  <autoFilter ref="A7:F13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C662B6A-EB12-4587-A791-CF5125994105}" name="DAG" dataDxfId="3496">
      <calculatedColumnFormula>PROPER(TEXT(B8, "dddd"))</calculatedColumnFormula>
    </tableColumn>
    <tableColumn id="2" xr3:uid="{D72B4E35-F28B-46EF-8232-80BA9E252A63}" name="DATUM" dataDxfId="3495">
      <calculatedColumnFormula>Tisdag7</calculatedColumnFormula>
    </tableColumn>
    <tableColumn id="3" xr3:uid="{699745A0-FDA3-4DE9-9E92-F0E7E4AB541A}" name="Tid1" dataDxfId="3494"/>
    <tableColumn id="4" xr3:uid="{571EF224-BB3C-4C8E-9348-C025A78873BC}" name="TID" dataDxfId="3493"/>
    <tableColumn id="5" xr3:uid="{7BBDB18C-DA38-4A37-9D99-D04F04D48350}" name="ANTAL" dataDxfId="3492"/>
    <tableColumn id="6" xr3:uid="{CC82D11C-1036-4954-AD68-E1CE1B24FC68}" name="GRUPP/LAG/SKOLA/ETC." dataDxfId="3491"/>
  </tableColumns>
  <tableStyleInfo name="Hallbokningsschema 2" showFirstColumn="0" showLastColumn="0" showRowStripes="0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B1F317F1-D757-45D1-9F8D-DB0E2189C506}" name="Tabell36471" displayName="Tabell36471" ref="A14:F22" totalsRowShown="0" headerRowDxfId="3490" dataDxfId="3489">
  <autoFilter ref="A14:F22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C7F87FA-F5AD-42E2-978D-2E8EDF9DC81B}" name="DAG" dataDxfId="3488">
      <calculatedColumnFormula>PROPER(TEXT(B15, "dddd"))</calculatedColumnFormula>
    </tableColumn>
    <tableColumn id="2" xr3:uid="{E9EE4536-34B2-4A49-B062-791F4A3AD561}" name="DATUM" dataDxfId="3487">
      <calculatedColumnFormula>Onsdag7</calculatedColumnFormula>
    </tableColumn>
    <tableColumn id="3" xr3:uid="{A3C64882-2B58-4BAB-B066-53F45F2D9057}" name="Tid1" dataDxfId="3486"/>
    <tableColumn id="4" xr3:uid="{A85F8566-359E-43E5-B8D6-8F9D68ABCE7E}" name="TID" dataDxfId="3485"/>
    <tableColumn id="5" xr3:uid="{6505ABF9-A14C-4D57-9326-AD758C4162B0}" name="ANTAL" dataDxfId="3484"/>
    <tableColumn id="6" xr3:uid="{5411BA4E-EB62-406B-885C-4C603BCB3F65}" name="GRUPP/LAG/SKOLA/ETC." dataDxfId="3483"/>
  </tableColumns>
  <tableStyleInfo name="Hallbokningsschema 2" showFirstColumn="0" showLastColumn="0" showRowStripes="0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F6DDA16-44D5-41FA-8587-677668706164}" name="Tabell46572" displayName="Tabell46572" ref="A23:F32" totalsRowShown="0" headerRowDxfId="3482" dataDxfId="3481">
  <autoFilter ref="A23:F32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4:F31">
    <sortCondition ref="C24:C31"/>
  </sortState>
  <tableColumns count="6">
    <tableColumn id="1" xr3:uid="{5C1A6EC7-A7FF-4A4C-B442-E31131BA6FD5}" name="DAG" dataDxfId="3480">
      <calculatedColumnFormula>PROPER(TEXT(B24, "dddd"))</calculatedColumnFormula>
    </tableColumn>
    <tableColumn id="2" xr3:uid="{A7BBE5FF-FEBC-40C9-9716-1C3A03E7E12B}" name="DATUM" dataDxfId="3479">
      <calculatedColumnFormula>Torsdag7</calculatedColumnFormula>
    </tableColumn>
    <tableColumn id="3" xr3:uid="{4D832C84-133A-4F91-BB6C-729884EBE2E6}" name="Tid1" dataDxfId="3478"/>
    <tableColumn id="4" xr3:uid="{886146FD-91C7-4556-BF59-A01F90A471DE}" name="TID" dataDxfId="3477"/>
    <tableColumn id="5" xr3:uid="{1C602C47-0143-454F-8F32-EE7A092B8273}" name="ANTAL" dataDxfId="3476"/>
    <tableColumn id="6" xr3:uid="{CFB543CB-0D52-4E10-ABB7-768C4E40D312}" name="GRUPP/LAG/SKOLA/ETC." dataDxfId="3475"/>
  </tableColumns>
  <tableStyleInfo name="Hallbokningsschema 2" showFirstColumn="0" showLastColumn="0" showRowStripes="0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A557935B-0532-450E-BBF3-8AB2421DCB4B}" name="Tabell56673" displayName="Tabell56673" ref="A33:F38" totalsRowShown="0" headerRowDxfId="3474" dataDxfId="3473">
  <autoFilter ref="A33:F38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7DD3D50-8CA3-4C30-99A3-2E58B84E45F0}" name="DAG" dataDxfId="3472">
      <calculatedColumnFormula>PROPER(TEXT(B34, "dddd"))</calculatedColumnFormula>
    </tableColumn>
    <tableColumn id="2" xr3:uid="{275A68B9-6388-47F0-8C40-0AD7D52D61CB}" name="DATUM" dataDxfId="3471">
      <calculatedColumnFormula>Fredag7</calculatedColumnFormula>
    </tableColumn>
    <tableColumn id="3" xr3:uid="{73B2B453-E00D-4331-9C84-E2A1DA89CB46}" name="Tid1" dataDxfId="3470"/>
    <tableColumn id="4" xr3:uid="{5F2A68E2-CE01-4DE3-9C54-04D3C2C1562F}" name="TID" dataDxfId="3469"/>
    <tableColumn id="5" xr3:uid="{6F63BC25-E484-4056-B7FC-97FFE43844E2}" name="ANTAL" dataDxfId="3468"/>
    <tableColumn id="6" xr3:uid="{DDFD3AA5-0E86-449D-A7D6-8B5B86CB5713}" name="GRUPP/LAG/SKOLA/ETC." dataDxfId="3467"/>
  </tableColumns>
  <tableStyleInfo name="Hallbokningsschema 2" showFirstColumn="0" showLastColumn="0" showRowStripes="0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741015B3-B9FC-4CA5-BDDF-188E8B8951CF}" name="Tabell66774" displayName="Tabell66774" ref="A39:F43" totalsRowShown="0" headerRowDxfId="3466" dataDxfId="3465">
  <autoFilter ref="A39:F4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40:F43">
    <sortCondition ref="C40:C43"/>
  </sortState>
  <tableColumns count="6">
    <tableColumn id="1" xr3:uid="{FFBD2AA6-15B2-4AA2-8C29-BA4340336E64}" name="DAG" dataDxfId="3464">
      <calculatedColumnFormula>PROPER(TEXT(B40, "dddd"))</calculatedColumnFormula>
    </tableColumn>
    <tableColumn id="2" xr3:uid="{CC9808C5-6DB2-4167-A8C2-C22C76B9BC8B}" name="DATUM" dataDxfId="3463">
      <calculatedColumnFormula>Lördag7</calculatedColumnFormula>
    </tableColumn>
    <tableColumn id="3" xr3:uid="{AB0BF5AF-3523-4BDB-9D80-EBAA3A9C462E}" name="Tid1" dataDxfId="3462"/>
    <tableColumn id="4" xr3:uid="{C094D981-2FBA-4476-9C68-C8130ABD2D12}" name="TID" dataDxfId="3461"/>
    <tableColumn id="5" xr3:uid="{F6B063CF-F6F3-4DFC-BB63-D7CBAAF6F5AD}" name="ANTAL" dataDxfId="3460"/>
    <tableColumn id="6" xr3:uid="{B1FCC919-5AAA-4C34-978B-D6E4C5CEE1A3}" name="GRUPP/LAG/SKOLA/ETC." dataDxfId="3459"/>
  </tableColumns>
  <tableStyleInfo name="Hallbokningsschema 2" showFirstColumn="0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B25A4F97-E83E-4E2E-BACA-08199218C132}" name="Tabell76875" displayName="Tabell76875" ref="A44:F45" totalsRowShown="0" headerRowDxfId="3458" dataDxfId="3457">
  <autoFilter ref="A44:F4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B9F4E80-50AA-43D5-AE5C-0822EDA59884}" name="DAG" dataDxfId="3456">
      <calculatedColumnFormula>PROPER(TEXT(B45, "dddd"))</calculatedColumnFormula>
    </tableColumn>
    <tableColumn id="2" xr3:uid="{37DD0CAB-0996-48C2-A53D-BF6A78F4967E}" name="DATUM" dataDxfId="3455">
      <calculatedColumnFormula>Söndag7</calculatedColumnFormula>
    </tableColumn>
    <tableColumn id="3" xr3:uid="{F08ADFD9-B214-4DAD-8D58-6D9647E223D0}" name="Tid1" dataDxfId="3454"/>
    <tableColumn id="4" xr3:uid="{1D4FCAEA-08FD-4D73-81AC-6BB0258591C0}" name="TID" dataDxfId="3453"/>
    <tableColumn id="5" xr3:uid="{A293A4F7-1A67-4532-AA56-7248BDCF3E0D}" name="ANTAL" dataDxfId="3452"/>
    <tableColumn id="6" xr3:uid="{65747ED4-8051-4A99-B920-EB9AC302A546}" name="GRUPP/LAG/SKOLA/ETC." dataDxfId="3451"/>
  </tableColumns>
  <tableStyleInfo name="Hallbokningsschema 2" showFirstColumn="0" showLastColumn="0" showRowStripes="0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9" xr:uid="{E5216CDC-4285-4946-8D7A-09689E82B41A}" name="Tabell13441485576839097104111118125139146153160167174181188195202209216223230237244251258265272279286293300307314321328335342349356363370" displayName="Tabell13441485576839097104111118125139146153160167174181188195202209216223230237244251258265272279286293300307314321328335342349356363370" ref="A2:F7" totalsRowShown="0" headerRowDxfId="3423" dataDxfId="3422">
  <autoFilter ref="A2:F7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E7AE63A-54B4-4CCE-9567-CE760DD002A9}" name="DAG" dataDxfId="3421">
      <calculatedColumnFormula>PROPER(TEXT(B3, "dddd"))</calculatedColumnFormula>
    </tableColumn>
    <tableColumn id="2" xr3:uid="{7E1427B4-2139-4FD0-BAD8-8ACA0285478A}" name="DATUM" dataDxfId="3420">
      <calculatedColumnFormula>Måndag8</calculatedColumnFormula>
    </tableColumn>
    <tableColumn id="3" xr3:uid="{2A8667C8-4B67-44BD-A4B1-62A33D1BEA64}" name="Tid1" dataDxfId="3419"/>
    <tableColumn id="4" xr3:uid="{E71B7FBF-E996-482C-87E0-4BBF235606C3}" name="TID" dataDxfId="3418"/>
    <tableColumn id="5" xr3:uid="{FEC40D8B-58CF-4BB2-871C-E6D8E8A883F5}" name="ANTAL" dataDxfId="3417"/>
    <tableColumn id="6" xr3:uid="{1599CA8E-BBF4-4872-B29F-1CE2C3B633E2}" name="GRUPP/LAG/SKOLA/ETC." dataDxfId="3416"/>
  </tableColumns>
  <tableStyleInfo name="Hallbokningsschema 2" showFirstColumn="0" showLastColumn="0" showRowStripes="0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0" xr:uid="{E24D84BA-02CF-4CFD-8FBF-FC352C7D8D63}" name="Tabell23542495677849198105112119126140147154161168175182189196203210217224231238245252259266273280287294301308315322329336343350357364371" displayName="Tabell23542495677849198105112119126140147154161168175182189196203210217224231238245252259266273280287294301308315322329336343350357364371" ref="A8:F14" totalsRowShown="0" headerRowDxfId="3415" dataDxfId="3414">
  <autoFilter ref="A8:F14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5074AE1-D0B9-4D84-970C-375A19EEF2D4}" name="DAG" dataDxfId="3413">
      <calculatedColumnFormula>PROPER(TEXT(B9, "dddd"))</calculatedColumnFormula>
    </tableColumn>
    <tableColumn id="2" xr3:uid="{26977B2B-AD30-4C63-8FB7-0E7DB7B1E45D}" name="DATUM" dataDxfId="3412">
      <calculatedColumnFormula>Tisdag8</calculatedColumnFormula>
    </tableColumn>
    <tableColumn id="3" xr3:uid="{5EDB3CB2-45A3-4F93-B073-E1C1FC7B19AB}" name="Tid1" dataDxfId="3411"/>
    <tableColumn id="4" xr3:uid="{F44C92E3-D0C2-48AF-8822-8154AD3A0FEB}" name="TID" dataDxfId="3410"/>
    <tableColumn id="5" xr3:uid="{0195E6FD-8B32-4CFC-BCAE-996B2A1AE6A5}" name="ANTAL" dataDxfId="3409"/>
    <tableColumn id="6" xr3:uid="{72F36FF9-5C1B-4256-828C-4CFD49D83FEE}" name="GRUPP/LAG/SKOLA/ETC." dataDxfId="3408"/>
  </tableColumns>
  <tableStyleInfo name="Hallbokningsschema 2" showFirstColumn="0" showLastColumn="0" showRowStripes="0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1" xr:uid="{2311C438-C131-4519-9175-459B25B08A5A}" name="Tabell33643505778859299106113120127141148155162169176183190197204211218225232239246253260267274281288295302309316323330337344351358365372" displayName="Tabell33643505778859299106113120127141148155162169176183190197204211218225232239246253260267274281288295302309316323330337344351358365372" ref="A15:F22" totalsRowShown="0" headerRowDxfId="3407" dataDxfId="3406">
  <autoFilter ref="A15:F22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03E4174-3E7E-42FA-8CBE-27DD2B759BFB}" name="DAG" dataDxfId="3405">
      <calculatedColumnFormula>PROPER(TEXT(B16, "dddd"))</calculatedColumnFormula>
    </tableColumn>
    <tableColumn id="2" xr3:uid="{06A96D95-EAB1-4DF8-A73F-0AE44B489B09}" name="DATUM" dataDxfId="3404">
      <calculatedColumnFormula>Onsdag8</calculatedColumnFormula>
    </tableColumn>
    <tableColumn id="3" xr3:uid="{DF3AAC1F-1C41-4D96-B20F-A8140358006F}" name="Tid1" dataDxfId="3403"/>
    <tableColumn id="4" xr3:uid="{B01F9F66-0B07-4BCB-8D4C-104007AA5F3E}" name="TID" dataDxfId="3402"/>
    <tableColumn id="5" xr3:uid="{A23F7CB9-E5CD-44F7-BA40-29DAC9A4524F}" name="ANTAL" dataDxfId="3401"/>
    <tableColumn id="6" xr3:uid="{2FC31E6C-ABD6-4770-AEFF-BF318AEF549D}" name="GRUPP/LAG/SKOLA/ETC." dataDxfId="3400"/>
  </tableColumns>
  <tableStyleInfo name="Hallbokningsschema 2" showFirstColumn="0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2" xr:uid="{D7F6303F-F575-44A6-930D-FFA37A95AA1B}" name="Tabell437445158798693100107114121128142149156163170177184191198205212219226233240247254261268275282289296303310317324331338345352359366373" displayName="Tabell437445158798693100107114121128142149156163170177184191198205212219226233240247254261268275282289296303310317324331338345352359366373" ref="A23:F29" totalsRowShown="0" headerRowDxfId="3399" dataDxfId="3398">
  <autoFilter ref="A23:F2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4:F29">
    <sortCondition ref="C24:C29"/>
  </sortState>
  <tableColumns count="6">
    <tableColumn id="1" xr3:uid="{0F159128-0C6E-4335-BA03-4F560DC34793}" name="DAG" dataDxfId="3397">
      <calculatedColumnFormula>PROPER(TEXT(B24, "dddd"))</calculatedColumnFormula>
    </tableColumn>
    <tableColumn id="2" xr3:uid="{28F06BCD-A9FA-434C-AA8A-A3A0B94A93EF}" name="DATUM" dataDxfId="3396">
      <calculatedColumnFormula>Torsdag8</calculatedColumnFormula>
    </tableColumn>
    <tableColumn id="3" xr3:uid="{0555BFC1-7EC7-46E4-8377-9446C171AFB2}" name="Tid1" dataDxfId="3395"/>
    <tableColumn id="4" xr3:uid="{07E5C6A5-EB00-423A-85CD-1FB3866C98D1}" name="TID" dataDxfId="3394"/>
    <tableColumn id="5" xr3:uid="{F90DDED5-EA59-47A3-B7F7-D44CC665AD52}" name="ANTAL" dataDxfId="3393"/>
    <tableColumn id="6" xr3:uid="{C6D81A0E-2638-4B9A-84F9-CA24F773D1F2}" name="GRUPP/LAG/SKOLA/ETC." dataDxfId="3392"/>
  </tableColumns>
  <tableStyleInfo name="Hallbokningsschema 2" showFirstColumn="0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3" xr:uid="{66D31B3B-4B77-43F8-8155-498799AFFCD1}" name="Tabell538455259808794101108115122129143150157164171178185192199206213220227234241248255262269276283290297304311318325332339346353360367374" displayName="Tabell538455259808794101108115122129143150157164171178185192199206213220227234241248255262269276283290297304311318325332339346353360367374" ref="A30:F35" totalsRowShown="0" headerRowDxfId="3391" dataDxfId="3390">
  <autoFilter ref="A30:F35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60A2E78-D0A2-4969-9FE5-1CB705C30F4D}" name="DAG" dataDxfId="3389">
      <calculatedColumnFormula>PROPER(TEXT(B31, "dddd"))</calculatedColumnFormula>
    </tableColumn>
    <tableColumn id="2" xr3:uid="{9DD1ED1E-9C4B-477F-80D5-0CAE36111630}" name="DATUM" dataDxfId="3388">
      <calculatedColumnFormula>Fredag8</calculatedColumnFormula>
    </tableColumn>
    <tableColumn id="3" xr3:uid="{66F1A540-050D-49EC-A4F2-ABE6D8722F7D}" name="Tid1" dataDxfId="3387"/>
    <tableColumn id="4" xr3:uid="{02ACE060-980E-44FE-8697-EEE65824E08E}" name="TID" dataDxfId="3386"/>
    <tableColumn id="5" xr3:uid="{D37E789B-E428-4608-ACE3-5A2AF7B4A015}" name="ANTAL" dataDxfId="3385"/>
    <tableColumn id="6" xr3:uid="{6356686C-1683-4A4F-9509-D9F0A9BCF0DE}" name="GRUPP/LAG/SKOLA/ETC." dataDxfId="3384"/>
  </tableColumns>
  <tableStyleInfo name="Hallbokningsschema 2" showFirstColumn="0" showLastColumn="0" showRowStripes="0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4" xr:uid="{6AE7B041-25E2-4704-B7B4-BB69F65D7BC9}" name="Tabell639465360818895102109116123130144151158165172179186193200207214221228235242249256263270277284291298305312319326333340347354361368375" displayName="Tabell639465360818895102109116123130144151158165172179186193200207214221228235242249256263270277284291298305312319326333340347354361368375" ref="A36:F39" totalsRowShown="0" headerRowDxfId="3383" dataDxfId="3382">
  <autoFilter ref="A36:F39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7:F39">
    <sortCondition ref="C37:C39"/>
  </sortState>
  <tableColumns count="6">
    <tableColumn id="1" xr3:uid="{8E75564C-0F61-4A0E-A313-636D875FB330}" name="DAG" dataDxfId="3381">
      <calculatedColumnFormula>PROPER(TEXT(B37, "dddd"))</calculatedColumnFormula>
    </tableColumn>
    <tableColumn id="2" xr3:uid="{3A715C64-19D8-41E9-9AB4-C2EEE3F14877}" name="DATUM" dataDxfId="3380">
      <calculatedColumnFormula>Lördag8</calculatedColumnFormula>
    </tableColumn>
    <tableColumn id="3" xr3:uid="{A23EA58F-BF41-4FF2-85BC-09D39FF0743E}" name="Tid1" dataDxfId="3379"/>
    <tableColumn id="4" xr3:uid="{B6A18355-2ACF-48F2-9A04-21AF6EE8F569}" name="TID" dataDxfId="3378"/>
    <tableColumn id="5" xr3:uid="{65AD2C5E-34D2-45C2-A24A-1AF89B803389}" name="ANTAL" dataDxfId="3377"/>
    <tableColumn id="6" xr3:uid="{0B00690D-BFE7-4FAB-B42C-206892ADAF3D}" name="GRUPP/LAG/SKOLA/ETC." dataDxfId="3376"/>
  </tableColumns>
  <tableStyleInfo name="Hallbokningsschema 2" showFirstColumn="0" showLastColumn="0" showRowStripes="0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5" xr:uid="{CD6CDF14-4507-42A6-93B4-17065F4AE28B}" name="Tabell740475461828996103110117124131145152159166173180187194201208215222229236243250257264271278285292299306313320327334341348355362369376" displayName="Tabell740475461828996103110117124131145152159166173180187194201208215222229236243250257264271278285292299306313320327334341348355362369376" ref="A40:F43" totalsRowShown="0" headerRowDxfId="3375" dataDxfId="3374">
  <autoFilter ref="A40:F43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B8665D7-D27F-4F63-B12E-EADA8AAF49B5}" name="DAG" dataDxfId="3373">
      <calculatedColumnFormula>PROPER(TEXT(B41, "dddd"))</calculatedColumnFormula>
    </tableColumn>
    <tableColumn id="2" xr3:uid="{7DC3CA69-A27C-40A8-81E3-DDD7F6F4DF74}" name="DATUM" dataDxfId="3372">
      <calculatedColumnFormula>Söndag8</calculatedColumnFormula>
    </tableColumn>
    <tableColumn id="3" xr3:uid="{D2993E29-E71B-49E2-ADC7-88A136390A89}" name="Tid1" dataDxfId="3371"/>
    <tableColumn id="4" xr3:uid="{79D77F1C-32F8-46CF-81C5-1F883BF418DF}" name="TID" dataDxfId="3370"/>
    <tableColumn id="5" xr3:uid="{EFB93BDC-8E68-4DDE-8FF2-4934EC64FE8A}" name="ANTAL" dataDxfId="3369"/>
    <tableColumn id="6" xr3:uid="{4178346D-88C8-4293-94EB-43DE4D4823CF}" name="GRUPP/LAG/SKOLA/ETC." dataDxfId="3368"/>
  </tableColumns>
  <tableStyleInfo name="Hallbokningsschema 2" showFirstColumn="0" showLastColumn="0" showRowStripes="0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2" xr:uid="{9486ED22-373E-4EDA-ADF0-8AA6FEB1FAAE}" name="Tabell13441485576839097104111118125139146153160167174181188195202209216223230237244251258265272279286293300307314321328335342349356363" displayName="Tabell13441485576839097104111118125139146153160167174181188195202209216223230237244251258265272279286293300307314321328335342349356363" ref="A2:F4" totalsRowShown="0" headerRowDxfId="3340" dataDxfId="3339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4D6A42B-0529-4304-A434-3924E5E3AD86}" name="DAG" dataDxfId="3338">
      <calculatedColumnFormula>PROPER(TEXT(B3, "dddd"))</calculatedColumnFormula>
    </tableColumn>
    <tableColumn id="2" xr3:uid="{EAF9098B-97F6-42C7-B116-64F234A461AD}" name="DATUM" dataDxfId="3337">
      <calculatedColumnFormula>Måndag9</calculatedColumnFormula>
    </tableColumn>
    <tableColumn id="3" xr3:uid="{F9805AFD-2D80-4EF7-8EE9-E418E61128F9}" name="Tid1" dataDxfId="3336"/>
    <tableColumn id="4" xr3:uid="{3EA208A5-8C1B-43FE-AA10-D1658C80AFC6}" name="TID" dataDxfId="3335"/>
    <tableColumn id="5" xr3:uid="{5C6C4F84-8DD6-4051-B948-3A1CF6D4F6F3}" name="ANTAL" dataDxfId="3334"/>
    <tableColumn id="6" xr3:uid="{FCF1F8D5-C37D-4A04-A388-7583E3F35C6A}" name="GRUPP/LAG/SKOLA/ETC." dataDxfId="3333"/>
  </tableColumns>
  <tableStyleInfo name="Hallbokningsschema 2" showFirstColumn="0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AF1BBD39-D71A-42FB-A3D2-C4A2A0EEC401}" name="Tabell23542495677849198105112119126140147154161168175182189196203210217224231238245252259266273280287294301308315322329336343350357364" displayName="Tabell23542495677849198105112119126140147154161168175182189196203210217224231238245252259266273280287294301308315322329336343350357364" ref="A5:F11" totalsRowShown="0" headerRowDxfId="3332" dataDxfId="3331">
  <autoFilter ref="A5:F11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6:F11">
    <sortCondition ref="C6:C11"/>
  </sortState>
  <tableColumns count="6">
    <tableColumn id="1" xr3:uid="{CB7B2E90-1B6A-4862-B24F-13F44F709F14}" name="DAG" dataDxfId="3330">
      <calculatedColumnFormula>PROPER(TEXT(B6, "dddd"))</calculatedColumnFormula>
    </tableColumn>
    <tableColumn id="2" xr3:uid="{01AB3790-3651-4B86-93CE-8EC55915E5D5}" name="DATUM" dataDxfId="3329">
      <calculatedColumnFormula>Tisdag9</calculatedColumnFormula>
    </tableColumn>
    <tableColumn id="3" xr3:uid="{39AF6707-850E-4036-AD56-BF9394E47D4B}" name="Tid1" dataDxfId="3328"/>
    <tableColumn id="4" xr3:uid="{9FC63FC5-0833-4EF2-BB77-B95E04028240}" name="TID" dataDxfId="3327"/>
    <tableColumn id="5" xr3:uid="{4E4C42C0-E619-4614-9875-627C9C4B8727}" name="ANTAL" dataDxfId="3326"/>
    <tableColumn id="6" xr3:uid="{49212019-2652-41B2-99D5-3C8AC303682A}" name="GRUPP/LAG/SKOLA/ETC." dataDxfId="3325"/>
  </tableColumns>
  <tableStyleInfo name="Hallbokningsschema 2" showFirstColumn="0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4" xr:uid="{0253D1B5-639E-424F-B66A-EA0A28A757FD}" name="Tabell33643505778859299106113120127141148155162169176183190197204211218225232239246253260267274281288295302309316323330337344351358365" displayName="Tabell33643505778859299106113120127141148155162169176183190197204211218225232239246253260267274281288295302309316323330337344351358365" ref="A12:F19" totalsRowShown="0" headerRowDxfId="3324" dataDxfId="3323">
  <autoFilter ref="A12:F19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898C521-A2E9-4306-B506-FD2FC296C0E2}" name="DAG" dataDxfId="3322">
      <calculatedColumnFormula>PROPER(TEXT(B13, "dddd"))</calculatedColumnFormula>
    </tableColumn>
    <tableColumn id="2" xr3:uid="{FD451FF5-CE06-470E-90C7-99360766E09C}" name="DATUM" dataDxfId="3321">
      <calculatedColumnFormula>Onsdag9</calculatedColumnFormula>
    </tableColumn>
    <tableColumn id="3" xr3:uid="{EAC7C4A8-4625-44FF-A7DA-43B84B340EBC}" name="Tid1" dataDxfId="3320"/>
    <tableColumn id="4" xr3:uid="{8CA534EC-19CA-4840-8472-080318BB35D9}" name="TID" dataDxfId="3319"/>
    <tableColumn id="5" xr3:uid="{C64DFCB1-60A8-45C0-B734-3260A9ED6662}" name="ANTAL" dataDxfId="3318"/>
    <tableColumn id="6" xr3:uid="{F7D399C0-4495-4B5F-BC5C-11F386C3CF96}" name="GRUPP/LAG/SKOLA/ETC." dataDxfId="3317"/>
  </tableColumns>
  <tableStyleInfo name="Hallbokningsschema 2" showFirstColumn="0" showLastColumn="0" showRowStripes="0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5" xr:uid="{1DF7CBA9-003E-42E8-8FE8-AF1E8A1F0656}" name="Tabell437445158798693100107114121128142149156163170177184191198205212219226233240247254261268275282289296303310317324331338345352359366" displayName="Tabell437445158798693100107114121128142149156163170177184191198205212219226233240247254261268275282289296303310317324331338345352359366" ref="A20:F25" totalsRowShown="0" headerRowDxfId="3316" dataDxfId="3315">
  <autoFilter ref="A20:F25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1:F25">
    <sortCondition ref="C21:C25"/>
  </sortState>
  <tableColumns count="6">
    <tableColumn id="1" xr3:uid="{509897C6-AFA9-4A97-AA14-5532A7B60079}" name="DAG" dataDxfId="3314">
      <calculatedColumnFormula>PROPER(TEXT(B21, "dddd"))</calculatedColumnFormula>
    </tableColumn>
    <tableColumn id="2" xr3:uid="{1379235F-8CA0-4B84-AC7B-D10D5E5AB590}" name="DATUM" dataDxfId="3313">
      <calculatedColumnFormula>Torsdag9</calculatedColumnFormula>
    </tableColumn>
    <tableColumn id="3" xr3:uid="{BA90198A-D848-487F-9B8C-C18F47F5916E}" name="Tid1" dataDxfId="3312"/>
    <tableColumn id="4" xr3:uid="{F82DB236-653A-4162-A031-C5ECFC5DBFD8}" name="TID" dataDxfId="3311"/>
    <tableColumn id="5" xr3:uid="{0B710808-974D-4C6F-89BE-EDC797B34318}" name="ANTAL" dataDxfId="3310"/>
    <tableColumn id="6" xr3:uid="{C8A3B839-F74D-4DB8-B381-D3E2716FD837}" name="GRUPP/LAG/SKOLA/ETC." dataDxfId="3309"/>
  </tableColumns>
  <tableStyleInfo name="Hallbokningsschema 2" showFirstColumn="0" showLastColumn="0" showRowStripes="0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6" xr:uid="{7E972E68-ABC1-49E1-820C-E85D1EC1DEC9}" name="Tabell538455259808794101108115122129143150157164171178185192199206213220227234241248255262269276283290297304311318325332339346353360367" displayName="Tabell538455259808794101108115122129143150157164171178185192199206213220227234241248255262269276283290297304311318325332339346353360367" ref="A26:F30" totalsRowShown="0" headerRowDxfId="3308" dataDxfId="3307">
  <autoFilter ref="A26:F30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B9E914E-B084-4D69-A824-E794A47DAFBA}" name="DAG" dataDxfId="3306">
      <calculatedColumnFormula>PROPER(TEXT(B27, "dddd"))</calculatedColumnFormula>
    </tableColumn>
    <tableColumn id="2" xr3:uid="{78C92E66-44E5-4498-B632-8FD8F7EA7D92}" name="DATUM" dataDxfId="3305">
      <calculatedColumnFormula>Fredag9</calculatedColumnFormula>
    </tableColumn>
    <tableColumn id="3" xr3:uid="{BBEC2D20-2A11-437B-8727-8BF8E6AFAAB9}" name="Tid1" dataDxfId="3304"/>
    <tableColumn id="4" xr3:uid="{3D3E165A-1A01-435A-B6E0-92F880AD37DC}" name="TID" dataDxfId="3303"/>
    <tableColumn id="5" xr3:uid="{83975C28-F41A-41F7-8563-3A81F7F3D9F2}" name="ANTAL" dataDxfId="3302"/>
    <tableColumn id="6" xr3:uid="{98938B45-9219-4844-B252-6F74B4A94D8D}" name="GRUPP/LAG/SKOLA/ETC." dataDxfId="3301"/>
  </tableColumns>
  <tableStyleInfo name="Hallbokningsschema 2" showFirstColumn="0" showLastColumn="0" showRowStripes="0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7" xr:uid="{00C2A821-586D-4809-AF9F-71D2EA36198A}" name="Tabell639465360818895102109116123130144151158165172179186193200207214221228235242249256263270277284291298305312319326333340347354361368" displayName="Tabell639465360818895102109116123130144151158165172179186193200207214221228235242249256263270277284291298305312319326333340347354361368" ref="A31:F35" totalsRowShown="0" headerRowDxfId="3300" dataDxfId="3299">
  <autoFilter ref="A31:F35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2:F35">
    <sortCondition ref="C32:C35"/>
  </sortState>
  <tableColumns count="6">
    <tableColumn id="1" xr3:uid="{5124EDB9-5DAF-4068-A517-2D0E9FE51A1B}" name="DAG" dataDxfId="3298">
      <calculatedColumnFormula>PROPER(TEXT(B32, "dddd"))</calculatedColumnFormula>
    </tableColumn>
    <tableColumn id="2" xr3:uid="{2A0EE919-36D0-4A8C-A5F2-38B63D26975A}" name="DATUM" dataDxfId="3297">
      <calculatedColumnFormula>Lördag9</calculatedColumnFormula>
    </tableColumn>
    <tableColumn id="3" xr3:uid="{9E4A9635-B83B-473F-B057-135001AB11B4}" name="Tid1" dataDxfId="3296"/>
    <tableColumn id="4" xr3:uid="{1C3E004F-C9A2-4F75-92AD-9F18D69112B2}" name="TID" dataDxfId="3295"/>
    <tableColumn id="5" xr3:uid="{8072C067-7474-4128-ACAD-CF0D35041134}" name="ANTAL" dataDxfId="3294"/>
    <tableColumn id="6" xr3:uid="{424A82F4-1A45-4763-9D77-5AEC967D4677}" name="GRUPP/LAG/SKOLA/ETC." dataDxfId="3293"/>
  </tableColumns>
  <tableStyleInfo name="Hallbokningsschema 2" showFirstColumn="0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8" xr:uid="{1A61AE33-D687-4231-A2C4-D983C126CEB0}" name="Tabell740475461828996103110117124131145152159166173180187194201208215222229236243250257264271278285292299306313320327334341348355362369" displayName="Tabell740475461828996103110117124131145152159166173180187194201208215222229236243250257264271278285292299306313320327334341348355362369" ref="A36:F37" totalsRowShown="0" headerRowDxfId="3292" dataDxfId="3291">
  <autoFilter ref="A36:F3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22DC58A-DF89-49CA-B344-F7950CB63A7B}" name="DAG" dataDxfId="3290">
      <calculatedColumnFormula>PROPER(TEXT(B37, "dddd"))</calculatedColumnFormula>
    </tableColumn>
    <tableColumn id="2" xr3:uid="{293F9AE1-1B99-444C-8685-5A12F2896DA3}" name="DATUM" dataDxfId="3289">
      <calculatedColumnFormula>Söndag9</calculatedColumnFormula>
    </tableColumn>
    <tableColumn id="3" xr3:uid="{BD358EE6-8DF2-4D35-B3A0-E93D25047E8B}" name="Tid1" dataDxfId="3288"/>
    <tableColumn id="4" xr3:uid="{90B53967-A458-4E6F-83EC-9C18C2143214}" name="TID" dataDxfId="3287"/>
    <tableColumn id="5" xr3:uid="{70BCEEF9-C4E9-497D-BF91-7336271F0A2A}" name="ANTAL" dataDxfId="3286"/>
    <tableColumn id="6" xr3:uid="{43B58B6E-B3C6-4A21-A086-AD536E5A6BC7}" name="GRUPP/LAG/SKOLA/ETC." dataDxfId="3285"/>
  </tableColumns>
  <tableStyleInfo name="Hallbokningsschema 2" showFirstColumn="0" showLastColumn="0" showRowStripes="0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5" xr:uid="{3D1B6B54-F133-47FE-9E35-F7279C112F32}" name="Tabell13441485576839097104111118125139146153160167174181188195202209216223230237244251258265272279286293300307314321328335342349356" displayName="Tabell13441485576839097104111118125139146153160167174181188195202209216223230237244251258265272279286293300307314321328335342349356" ref="A2:F4" totalsRowShown="0" headerRowDxfId="3262" dataDxfId="3261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BF6C758-F456-40CD-A9AC-5492380CFEF2}" name="DAG" dataDxfId="3260">
      <calculatedColumnFormula>PROPER(TEXT(B3, "dddd"))</calculatedColumnFormula>
    </tableColumn>
    <tableColumn id="2" xr3:uid="{811C393F-6CD0-46F0-BAE3-F0CEE23B000C}" name="DATUM" dataDxfId="3259">
      <calculatedColumnFormula>Måndag10</calculatedColumnFormula>
    </tableColumn>
    <tableColumn id="3" xr3:uid="{552641C7-6B9C-4674-B931-DCABE5A3FD7D}" name="Tid1" dataDxfId="3258"/>
    <tableColumn id="4" xr3:uid="{6AAA7915-A3CA-4B80-802D-289599230886}" name="TID" dataDxfId="3257"/>
    <tableColumn id="5" xr3:uid="{F71ACA41-9ACF-453C-A8D1-BF71D987576B}" name="ANTAL" dataDxfId="3256"/>
    <tableColumn id="6" xr3:uid="{3949A2B9-1D4C-4869-93BC-D05752FE1202}" name="GRUPP/LAG/SKOLA/ETC." dataDxfId="3255"/>
  </tableColumns>
  <tableStyleInfo name="Hallbokningsschema 2" showFirstColumn="0" showLastColumn="0" showRowStripes="0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6" xr:uid="{76C856C7-C682-4AC9-A123-07C39AD31EBF}" name="Tabell23542495677849198105112119126140147154161168175182189196203210217224231238245252259266273280287294301308315322329336343350357" displayName="Tabell23542495677849198105112119126140147154161168175182189196203210217224231238245252259266273280287294301308315322329336343350357" ref="A5:F11" totalsRowShown="0" headerRowDxfId="3254" dataDxfId="3253">
  <autoFilter ref="A5:F11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6:F11">
    <sortCondition ref="C6:C11"/>
  </sortState>
  <tableColumns count="6">
    <tableColumn id="1" xr3:uid="{A265B907-BA6F-485B-884A-103448693E15}" name="DAG" dataDxfId="3252">
      <calculatedColumnFormula>PROPER(TEXT(B6, "dddd"))</calculatedColumnFormula>
    </tableColumn>
    <tableColumn id="2" xr3:uid="{0AF2B38C-4D43-4CC2-8F2E-0D1D3BEEA223}" name="DATUM" dataDxfId="3251">
      <calculatedColumnFormula>Tisdag10</calculatedColumnFormula>
    </tableColumn>
    <tableColumn id="3" xr3:uid="{9C650B28-12B0-414E-9A10-DDC2E957604F}" name="Tid1" dataDxfId="3250"/>
    <tableColumn id="4" xr3:uid="{B22AB199-390A-43BD-8E3E-2CFDF048C43B}" name="TID" dataDxfId="3249"/>
    <tableColumn id="5" xr3:uid="{CEEF1343-6463-47C8-A753-F2BF406B4131}" name="ANTAL" dataDxfId="3248"/>
    <tableColumn id="6" xr3:uid="{218EF686-10F8-467A-B01A-0A522EC3ED97}" name="GRUPP/LAG/SKOLA/ETC." dataDxfId="3247"/>
  </tableColumns>
  <tableStyleInfo name="Hallbokningsschema 2" showFirstColumn="0" showLastColumn="0" showRowStripes="0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7" xr:uid="{24A78015-1970-4E7A-B3C4-7DDCD5182CAE}" name="Tabell33643505778859299106113120127141148155162169176183190197204211218225232239246253260267274281288295302309316323330337344351358" displayName="Tabell33643505778859299106113120127141148155162169176183190197204211218225232239246253260267274281288295302309316323330337344351358" ref="A12:F19" totalsRowShown="0" headerRowDxfId="3246" dataDxfId="3245">
  <autoFilter ref="A12:F19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966B071-CCF4-48B5-96F6-4B44FBAD2C7A}" name="DAG" dataDxfId="3244">
      <calculatedColumnFormula>PROPER(TEXT(B13, "dddd"))</calculatedColumnFormula>
    </tableColumn>
    <tableColumn id="2" xr3:uid="{78DB017F-1435-43B5-BFAF-62DB54474E42}" name="DATUM" dataDxfId="3243">
      <calculatedColumnFormula>Onsdag10</calculatedColumnFormula>
    </tableColumn>
    <tableColumn id="3" xr3:uid="{394E5298-57D2-493B-B1D7-08EF1E3EB074}" name="Tid1" dataDxfId="3242"/>
    <tableColumn id="4" xr3:uid="{29C81CC3-3DE5-4266-A09B-801927F808D2}" name="TID" dataDxfId="3241"/>
    <tableColumn id="5" xr3:uid="{B8981D90-4DC6-423D-8C10-A22E77A6E3AC}" name="ANTAL" dataDxfId="3240"/>
    <tableColumn id="6" xr3:uid="{40F38D98-24E7-4049-86C9-1D272DE8380B}" name="GRUPP/LAG/SKOLA/ETC." dataDxfId="3239"/>
  </tableColumns>
  <tableStyleInfo name="Hallbokningsschema 2" showFirstColumn="0" showLastColumn="0" showRowStripes="0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8" xr:uid="{840A9044-E137-4507-8FBB-EA6A7E1EDDD4}" name="Tabell437445158798693100107114121128142149156163170177184191198205212219226233240247254261268275282289296303310317324331338345352359" displayName="Tabell437445158798693100107114121128142149156163170177184191198205212219226233240247254261268275282289296303310317324331338345352359" ref="A20:F25" totalsRowShown="0" headerRowDxfId="3238" dataDxfId="3237">
  <autoFilter ref="A20:F25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60F0EF7-D3A2-4099-80B2-DFB39B1088DD}" name="DAG" dataDxfId="3236">
      <calculatedColumnFormula>PROPER(TEXT(B21, "dddd"))</calculatedColumnFormula>
    </tableColumn>
    <tableColumn id="2" xr3:uid="{C9E2835A-06A3-4055-B06C-D7515DDC52FC}" name="DATUM" dataDxfId="3235">
      <calculatedColumnFormula>Torsdag10</calculatedColumnFormula>
    </tableColumn>
    <tableColumn id="3" xr3:uid="{B0C5BB58-92D5-4314-AB2A-DB44C7FC4D60}" name="Tid1" dataDxfId="3234"/>
    <tableColumn id="4" xr3:uid="{95513C02-9AD6-4A63-BBDE-EA60D05ED9A3}" name="TID" dataDxfId="3233"/>
    <tableColumn id="5" xr3:uid="{72BE38FB-B4EC-4C21-8996-3C8C1314AAD6}" name="ANTAL" dataDxfId="3232"/>
    <tableColumn id="6" xr3:uid="{C9057F84-B14C-41FC-9168-0667D4200682}" name="GRUPP/LAG/SKOLA/ETC." dataDxfId="3231"/>
  </tableColumns>
  <tableStyleInfo name="Hallbokningsschema 2" showFirstColumn="0" showLastColumn="0" showRowStripes="0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9" xr:uid="{3FE8A5FC-15F6-418B-BF3E-50013326741E}" name="Tabell538455259808794101108115122129143150157164171178185192199206213220227234241248255262269276283290297304311318325332339346353360" displayName="Tabell538455259808794101108115122129143150157164171178185192199206213220227234241248255262269276283290297304311318325332339346353360" ref="A26:F31" totalsRowShown="0" headerRowDxfId="3230" dataDxfId="3229">
  <autoFilter ref="A26:F3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CE7652E-90EF-47FF-B79D-3FFB82ED3F6C}" name="DAG" dataDxfId="3228">
      <calculatedColumnFormula>PROPER(TEXT(B27, "dddd"))</calculatedColumnFormula>
    </tableColumn>
    <tableColumn id="2" xr3:uid="{C02EC618-1697-4D16-9487-82B87C273F74}" name="DATUM" dataDxfId="3227">
      <calculatedColumnFormula>Fredag10</calculatedColumnFormula>
    </tableColumn>
    <tableColumn id="3" xr3:uid="{D609FBA7-0515-4F00-823D-275C6D4C8B28}" name="Tid1" dataDxfId="3226"/>
    <tableColumn id="4" xr3:uid="{126F3BBE-B05C-4DD5-B00D-0CF4D3F71538}" name="TID" dataDxfId="3225"/>
    <tableColumn id="5" xr3:uid="{E397F4A8-494A-4C94-B374-D018FFEF6203}" name="ANTAL" dataDxfId="3224"/>
    <tableColumn id="6" xr3:uid="{3D00CC21-EF04-4F23-8FAB-96D3B3BCFD33}" name="GRUPP/LAG/SKOLA/ETC." dataDxfId="3223"/>
  </tableColumns>
  <tableStyleInfo name="Hallbokningsschema 2" showFirstColumn="0" showLastColumn="0" showRowStripes="0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0" xr:uid="{C87FCD3F-A835-4EDE-BCE0-93CBFDC7AF7A}" name="Tabell639465360818895102109116123130144151158165172179186193200207214221228235242249256263270277284291298305312319326333340347354361" displayName="Tabell639465360818895102109116123130144151158165172179186193200207214221228235242249256263270277284291298305312319326333340347354361" ref="A32:F33" totalsRowShown="0" headerRowDxfId="3222" dataDxfId="3221">
  <autoFilter ref="A32:F3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2439877-4319-43F5-A43D-360068F1EFDB}" name="DAG" dataDxfId="3220">
      <calculatedColumnFormula>PROPER(TEXT(B33, "dddd"))</calculatedColumnFormula>
    </tableColumn>
    <tableColumn id="2" xr3:uid="{7A67FE45-1AA8-444D-BEB0-57C77E6AC41C}" name="DATUM" dataDxfId="3219">
      <calculatedColumnFormula>Lördag10</calculatedColumnFormula>
    </tableColumn>
    <tableColumn id="3" xr3:uid="{CB5D36CD-E894-4776-B02E-6FA3F3E013FD}" name="Tid1" dataDxfId="3218"/>
    <tableColumn id="4" xr3:uid="{3EA0030A-A401-49A5-8DE5-E0F9BB03E7AF}" name="TID" dataDxfId="3217"/>
    <tableColumn id="5" xr3:uid="{BEA9ED9D-C340-49D1-AD12-23F9017D22D8}" name="ANTAL" dataDxfId="3216"/>
    <tableColumn id="6" xr3:uid="{60FA84F5-0D5B-44B0-BD4D-5C866941D3B6}" name="GRUPP/LAG/SKOLA/ETC." dataDxfId="3215"/>
  </tableColumns>
  <tableStyleInfo name="Hallbokningsschema 2" showFirstColumn="0" showLastColumn="0" showRowStripes="0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1" xr:uid="{B1F436D8-BCC2-4B79-AC86-6320956AF5DB}" name="Tabell740475461828996103110117124131145152159166173180187194201208215222229236243250257264271278285292299306313320327334341348355362" displayName="Tabell740475461828996103110117124131145152159166173180187194201208215222229236243250257264271278285292299306313320327334341348355362" ref="A34:F35" totalsRowShown="0" headerRowDxfId="3214" dataDxfId="3213">
  <autoFilter ref="A34:F3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EB4060B-0BE6-49C6-B019-5642B19801D1}" name="DAG" dataDxfId="3212">
      <calculatedColumnFormula>PROPER(TEXT(B35, "dddd"))</calculatedColumnFormula>
    </tableColumn>
    <tableColumn id="2" xr3:uid="{AE257D0A-B510-4A0D-BDE2-90D7FBD5C919}" name="DATUM" dataDxfId="3211">
      <calculatedColumnFormula>Söndag10</calculatedColumnFormula>
    </tableColumn>
    <tableColumn id="3" xr3:uid="{5D15387D-55E6-4C76-B7C4-FEB723F9CA6D}" name="Tid1" dataDxfId="3210"/>
    <tableColumn id="4" xr3:uid="{C4280492-0B50-4597-A2BC-FC5779BD3679}" name="TID" dataDxfId="3209"/>
    <tableColumn id="5" xr3:uid="{7A43C49A-1A4F-4BAD-A1D9-8A9224E167FC}" name="ANTAL" dataDxfId="3208"/>
    <tableColumn id="6" xr3:uid="{165D5EC0-28E7-467E-86DC-A79ADEACA0D7}" name="GRUPP/LAG/SKOLA/ETC." dataDxfId="3207"/>
  </tableColumns>
  <tableStyleInfo name="Hallbokningsschema 2" showFirstColumn="0" showLastColumn="0" showRowStripes="0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8" xr:uid="{EE5F4925-44CA-4EB2-9746-3798C1730BD2}" name="Tabell13441485576839097104111118125139146153160167174181188195202209216223230237244251258265272279286293300307314321328335342349" displayName="Tabell13441485576839097104111118125139146153160167174181188195202209216223230237244251258265272279286293300307314321328335342349" ref="A2:F5" totalsRowShown="0" headerRowDxfId="3182" dataDxfId="3181">
  <autoFilter ref="A2:F5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A4B85AF-3D44-4631-85C3-DD65152BBEB8}" name="DAG" dataDxfId="3180">
      <calculatedColumnFormula>PROPER(TEXT(B3, "dddd"))</calculatedColumnFormula>
    </tableColumn>
    <tableColumn id="2" xr3:uid="{E031645C-5688-472A-8EBB-AD8438D33028}" name="DATUM" dataDxfId="3179">
      <calculatedColumnFormula>Måndag11</calculatedColumnFormula>
    </tableColumn>
    <tableColumn id="3" xr3:uid="{D9CF62CF-7251-47C7-84EB-E5D2B0ECAEBE}" name="Tid1" dataDxfId="3178"/>
    <tableColumn id="4" xr3:uid="{30961911-8FDC-44E8-A4D2-F6A9DE642CC6}" name="TID" dataDxfId="3177"/>
    <tableColumn id="5" xr3:uid="{58977338-1A5D-440F-B426-DC4B87D54C8B}" name="ANTAL" dataDxfId="3176"/>
    <tableColumn id="6" xr3:uid="{17BD68C2-48D9-4236-A16A-209FA9416F4D}" name="GRUPP/LAG/SKOLA/ETC." dataDxfId="3175"/>
  </tableColumns>
  <tableStyleInfo name="Hallbokningsschema 2" showFirstColumn="0" showLastColumn="0" showRowStripes="0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9" xr:uid="{5FA5591D-61A1-4301-B3E5-C8860571CF23}" name="Tabell23542495677849198105112119126140147154161168175182189196203210217224231238245252259266273280287294301308315322329336343350" displayName="Tabell23542495677849198105112119126140147154161168175182189196203210217224231238245252259266273280287294301308315322329336343350" ref="A6:F12" totalsRowShown="0" headerRowDxfId="3174" dataDxfId="3173">
  <autoFilter ref="A6:F12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3703C35-2B39-4D86-A9C6-37F42E22823D}" name="DAG" dataDxfId="3172">
      <calculatedColumnFormula>PROPER(TEXT(B7, "dddd"))</calculatedColumnFormula>
    </tableColumn>
    <tableColumn id="2" xr3:uid="{3D46B6AE-0E07-4971-9428-96A2E6FA7720}" name="DATUM" dataDxfId="3171">
      <calculatedColumnFormula>Tisdag11</calculatedColumnFormula>
    </tableColumn>
    <tableColumn id="3" xr3:uid="{73D834E9-831B-41E7-8F8A-6FB5352BE51B}" name="Tid1" dataDxfId="3170"/>
    <tableColumn id="4" xr3:uid="{1B3704E0-DA43-4A6A-87F8-C03BFE43DF6C}" name="TID" dataDxfId="3169"/>
    <tableColumn id="5" xr3:uid="{CA85DE22-327F-4C6E-B129-E537BDA1C1BB}" name="ANTAL" dataDxfId="3168"/>
    <tableColumn id="6" xr3:uid="{9D0E1AF3-1AEC-4B9C-91A4-1763051352D9}" name="GRUPP/LAG/SKOLA/ETC." dataDxfId="3167"/>
  </tableColumns>
  <tableStyleInfo name="Hallbokningsschema 2" showFirstColumn="0" showLastColumn="0" showRowStripes="0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0" xr:uid="{C3634766-274D-4EAF-B07D-7EC818474ED0}" name="Tabell33643505778859299106113120127141148155162169176183190197204211218225232239246253260267274281288295302309316323330337344351" displayName="Tabell33643505778859299106113120127141148155162169176183190197204211218225232239246253260267274281288295302309316323330337344351" ref="A13:F20" totalsRowShown="0" headerRowDxfId="3166" dataDxfId="3165">
  <autoFilter ref="A13:F20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4:F20">
    <sortCondition ref="C14:C20"/>
  </sortState>
  <tableColumns count="6">
    <tableColumn id="1" xr3:uid="{991D104F-EAE4-4260-8146-6AAD5F95F597}" name="DAG" dataDxfId="3164">
      <calculatedColumnFormula>PROPER(TEXT(B14, "dddd"))</calculatedColumnFormula>
    </tableColumn>
    <tableColumn id="2" xr3:uid="{28CDDC16-43FD-4E40-A489-FF5ABA0CEA94}" name="DATUM" dataDxfId="3163">
      <calculatedColumnFormula>Onsdag11</calculatedColumnFormula>
    </tableColumn>
    <tableColumn id="3" xr3:uid="{5F8DD7BC-DCE1-4373-81C9-7038F624C66A}" name="Tid1" dataDxfId="3162"/>
    <tableColumn id="4" xr3:uid="{CEF0D778-E623-4B98-A782-807F93432D50}" name="TID" dataDxfId="3161"/>
    <tableColumn id="5" xr3:uid="{70B6EBF9-A8B9-4FA6-AA5A-BB617CCE75F0}" name="ANTAL" dataDxfId="3160"/>
    <tableColumn id="6" xr3:uid="{72C44C30-EFB7-4EA4-81C8-3207E13522A0}" name="GRUPP/LAG/SKOLA/ETC." dataDxfId="3159"/>
  </tableColumns>
  <tableStyleInfo name="Hallbokningsschema 2" showFirstColumn="0" showLastColumn="0" showRowStripes="0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1" xr:uid="{5B919B94-37B6-45E9-B573-A16B6E00CBB8}" name="Tabell437445158798693100107114121128142149156163170177184191198205212219226233240247254261268275282289296303310317324331338345352" displayName="Tabell437445158798693100107114121128142149156163170177184191198205212219226233240247254261268275282289296303310317324331338345352" ref="A21:F26" totalsRowShown="0" headerRowDxfId="3158" dataDxfId="3157">
  <autoFilter ref="A21:F26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149673E-DF10-4B5E-A3FB-E52FED453471}" name="DAG" dataDxfId="3156">
      <calculatedColumnFormula>PROPER(TEXT(B22, "dddd"))</calculatedColumnFormula>
    </tableColumn>
    <tableColumn id="2" xr3:uid="{D0C73C0C-AA41-4E57-ABDD-9B7BC304295D}" name="DATUM" dataDxfId="3155">
      <calculatedColumnFormula>Torsdag11</calculatedColumnFormula>
    </tableColumn>
    <tableColumn id="3" xr3:uid="{DA4E874E-54B3-42CF-902C-41CD04C80826}" name="Tid1" dataDxfId="3154"/>
    <tableColumn id="4" xr3:uid="{3B85D86F-1252-4F81-91DD-2E4C755E3F82}" name="TID" dataDxfId="3153"/>
    <tableColumn id="5" xr3:uid="{93E0FF86-94B6-4A90-9041-DD1C91D1C660}" name="ANTAL" dataDxfId="3152"/>
    <tableColumn id="6" xr3:uid="{9F2D301C-B41C-4D77-A1EF-10FE00664B38}" name="GRUPP/LAG/SKOLA/ETC." dataDxfId="3151"/>
  </tableColumns>
  <tableStyleInfo name="Hallbokningsschema 2" showFirstColumn="0" showLastColumn="0" showRowStripes="0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2" xr:uid="{50B039FD-BA40-4737-8DA8-EBA37BD199E9}" name="Tabell538455259808794101108115122129143150157164171178185192199206213220227234241248255262269276283290297304311318325332339346353" displayName="Tabell538455259808794101108115122129143150157164171178185192199206213220227234241248255262269276283290297304311318325332339346353" ref="A27:F31" totalsRowShown="0" headerRowDxfId="3150" dataDxfId="3149">
  <autoFilter ref="A27:F3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A652B8A-9701-4426-A905-18D8EB24BFAF}" name="DAG" dataDxfId="3148">
      <calculatedColumnFormula>PROPER(TEXT(B28, "dddd"))</calculatedColumnFormula>
    </tableColumn>
    <tableColumn id="2" xr3:uid="{2AA496EE-AF44-4C9A-80FD-6F4A9ABDFAFD}" name="DATUM" dataDxfId="3147">
      <calculatedColumnFormula>Fredag11</calculatedColumnFormula>
    </tableColumn>
    <tableColumn id="3" xr3:uid="{2C1C982D-BC49-4539-BE5E-AADA28D06BE1}" name="Tid1" dataDxfId="3146"/>
    <tableColumn id="4" xr3:uid="{288A0BD0-4790-4BB6-B5E8-FE761975E197}" name="TID" dataDxfId="3145"/>
    <tableColumn id="5" xr3:uid="{C662CF19-AFE8-4E5A-BE61-971CF413BDDD}" name="ANTAL" dataDxfId="3144"/>
    <tableColumn id="6" xr3:uid="{08E1B8D9-8DC6-47EB-9CC3-6DD21EF8B739}" name="GRUPP/LAG/SKOLA/ETC." dataDxfId="3143"/>
  </tableColumns>
  <tableStyleInfo name="Hallbokningsschema 2" showFirstColumn="0" showLastColumn="0" showRowStripes="0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3" xr:uid="{AEFA32A6-524C-4630-B1E6-AFBE735E630C}" name="Tabell639465360818895102109116123130144151158165172179186193200207214221228235242249256263270277284291298305312319326333340347354" displayName="Tabell639465360818895102109116123130144151158165172179186193200207214221228235242249256263270277284291298305312319326333340347354" ref="A32:F35" totalsRowShown="0" headerRowDxfId="3142" dataDxfId="3141">
  <autoFilter ref="A32:F35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ADE53C5-08E5-4C41-AE2F-223904754894}" name="DAG" dataDxfId="3140">
      <calculatedColumnFormula>PROPER(TEXT(B33, "dddd"))</calculatedColumnFormula>
    </tableColumn>
    <tableColumn id="2" xr3:uid="{ACB0F841-274D-4073-8183-5DC58706D583}" name="DATUM" dataDxfId="3139">
      <calculatedColumnFormula>Lördag11</calculatedColumnFormula>
    </tableColumn>
    <tableColumn id="3" xr3:uid="{054E6FCA-2315-4CBF-8E5A-F7A33424A1CC}" name="Tid1" dataDxfId="3138"/>
    <tableColumn id="4" xr3:uid="{B75C8D84-695D-44D9-B697-2EE8560972A6}" name="TID" dataDxfId="3137"/>
    <tableColumn id="5" xr3:uid="{4A4448AF-0EFD-4215-9FE3-BCFA0B80FED0}" name="ANTAL" dataDxfId="3136"/>
    <tableColumn id="6" xr3:uid="{EE7CC517-2A53-4EA3-A34B-8B24393C0B32}" name="GRUPP/LAG/SKOLA/ETC." dataDxfId="3135"/>
  </tableColumns>
  <tableStyleInfo name="Hallbokningsschema 2" showFirstColumn="0" showLastColumn="0" showRowStripes="0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4" xr:uid="{004C3142-65AF-40FD-92A0-50359CECB0AB}" name="Tabell740475461828996103110117124131145152159166173180187194201208215222229236243250257264271278285292299306313320327334341348355" displayName="Tabell740475461828996103110117124131145152159166173180187194201208215222229236243250257264271278285292299306313320327334341348355" ref="A36:F37" totalsRowShown="0" headerRowDxfId="3134" dataDxfId="3133">
  <autoFilter ref="A36:F3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D6C64D4-443F-432D-9842-22DF38393326}" name="DAG" dataDxfId="3132">
      <calculatedColumnFormula>PROPER(TEXT(B37, "dddd"))</calculatedColumnFormula>
    </tableColumn>
    <tableColumn id="2" xr3:uid="{949C1BA4-A83B-431A-AE35-3328A9E8FC60}" name="DATUM" dataDxfId="3131">
      <calculatedColumnFormula>Söndag11</calculatedColumnFormula>
    </tableColumn>
    <tableColumn id="3" xr3:uid="{B3585F8C-F3E3-46E9-8A5E-BA25CDBBE10A}" name="Tid1" dataDxfId="3130"/>
    <tableColumn id="4" xr3:uid="{140C2774-4EF2-44D0-ACD0-578B5C8AEEE4}" name="TID" dataDxfId="3129"/>
    <tableColumn id="5" xr3:uid="{6FA0B435-302E-4292-8CFB-D6C21C09FF26}" name="ANTAL" dataDxfId="3128"/>
    <tableColumn id="6" xr3:uid="{9471CAE4-0ABD-4B8D-910C-D30799396E0A}" name="GRUPP/LAG/SKOLA/ETC." dataDxfId="3127"/>
  </tableColumns>
  <tableStyleInfo name="Hallbokningsschema 2" showFirstColumn="0" showLastColumn="0" showRowStripes="0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1" xr:uid="{4C0AD66D-87F6-4240-ACC4-548E912C7E2E}" name="Tabell13441485576839097104111118125139146153160167174181188195202209216223230237244251258265272279286293300307314321328335342" displayName="Tabell13441485576839097104111118125139146153160167174181188195202209216223230237244251258265272279286293300307314321328335342" ref="A2:F4" totalsRowShown="0" headerRowDxfId="3105" dataDxfId="3104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4">
    <sortCondition ref="C3:C4"/>
  </sortState>
  <tableColumns count="6">
    <tableColumn id="1" xr3:uid="{BDC72297-73B8-497F-A5C6-6B1C3383AFA6}" name="DAG" dataDxfId="3103">
      <calculatedColumnFormula>PROPER(TEXT(B3, "dddd"))</calculatedColumnFormula>
    </tableColumn>
    <tableColumn id="2" xr3:uid="{657CC6E3-06CF-42A6-B1BC-E50674894D39}" name="DATUM" dataDxfId="3102">
      <calculatedColumnFormula>Måndag12</calculatedColumnFormula>
    </tableColumn>
    <tableColumn id="3" xr3:uid="{80A27200-5486-4927-AEE5-3BC409945222}" name="Tid1" dataDxfId="3101"/>
    <tableColumn id="4" xr3:uid="{C5FCB9EF-AFFC-4F9B-8236-02A9976608AE}" name="TID" dataDxfId="3100"/>
    <tableColumn id="5" xr3:uid="{5F652330-5598-46AF-9162-21315A6EDF5F}" name="ANTAL" dataDxfId="3099"/>
    <tableColumn id="6" xr3:uid="{EB30C941-EC4D-4673-A3F9-3040FBDE85F7}" name="GRUPP/LAG/SKOLA/ETC." dataDxfId="3098"/>
  </tableColumns>
  <tableStyleInfo name="Hallbokningsschema 2" showFirstColumn="0" showLastColumn="0" showRowStripes="0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2" xr:uid="{F31C5545-574B-4080-BC2C-425A32DAE323}" name="Tabell23542495677849198105112119126140147154161168175182189196203210217224231238245252259266273280287294301308315322329336343" displayName="Tabell23542495677849198105112119126140147154161168175182189196203210217224231238245252259266273280287294301308315322329336343" ref="A5:F10" totalsRowShown="0" headerRowDxfId="3097" dataDxfId="3096">
  <autoFilter ref="A5:F10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36C08DE-D9CD-4D87-9490-F33C54C7BAAA}" name="DAG" dataDxfId="3095">
      <calculatedColumnFormula>PROPER(TEXT(B6, "dddd"))</calculatedColumnFormula>
    </tableColumn>
    <tableColumn id="2" xr3:uid="{98D5F387-7EED-48A6-8E75-3340600E696B}" name="DATUM" dataDxfId="3094">
      <calculatedColumnFormula>Tisdag12</calculatedColumnFormula>
    </tableColumn>
    <tableColumn id="3" xr3:uid="{37B3A7E5-CBA7-4356-98D3-86117E82AB1C}" name="Tid1" dataDxfId="3093"/>
    <tableColumn id="4" xr3:uid="{596BD7EF-806A-48C3-9A9E-25709055B5E5}" name="TID" dataDxfId="3092"/>
    <tableColumn id="5" xr3:uid="{6B42A157-BC32-4966-9339-80CCDA871413}" name="ANTAL" dataDxfId="3091"/>
    <tableColumn id="6" xr3:uid="{6BF1B385-D12D-4478-A084-61613D442D87}" name="GRUPP/LAG/SKOLA/ETC." dataDxfId="3090"/>
  </tableColumns>
  <tableStyleInfo name="Hallbokningsschema 2" showFirstColumn="0" showLastColumn="0" showRowStripes="0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3" xr:uid="{46F4A90F-57A3-43DB-B38E-BE346C9FBFE3}" name="Tabell33643505778859299106113120127141148155162169176183190197204211218225232239246253260267274281288295302309316323330337344" displayName="Tabell33643505778859299106113120127141148155162169176183190197204211218225232239246253260267274281288295302309316323330337344" ref="A11:F18" totalsRowShown="0" headerRowDxfId="3089" dataDxfId="3088">
  <autoFilter ref="A11:F18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2:F18">
    <sortCondition ref="C12:C18"/>
  </sortState>
  <tableColumns count="6">
    <tableColumn id="1" xr3:uid="{9E0768D9-1DF0-4EC4-B5AA-41C2C3677383}" name="DAG" dataDxfId="3087">
      <calculatedColumnFormula>PROPER(TEXT(B12, "dddd"))</calculatedColumnFormula>
    </tableColumn>
    <tableColumn id="2" xr3:uid="{43A87095-72DD-4AE9-A323-B50C3F59A5A3}" name="DATUM" dataDxfId="3086">
      <calculatedColumnFormula>Onsdag12</calculatedColumnFormula>
    </tableColumn>
    <tableColumn id="3" xr3:uid="{B20E1A50-F88F-48E1-8EE1-62FC89188BB0}" name="Tid1" dataDxfId="3085"/>
    <tableColumn id="4" xr3:uid="{55EA548F-971A-4E86-BC5B-80F5B5809F59}" name="TID" dataDxfId="3084"/>
    <tableColumn id="5" xr3:uid="{202B05D9-2EDE-410A-9D38-E803B30B021A}" name="ANTAL" dataDxfId="3083"/>
    <tableColumn id="6" xr3:uid="{326C2B7E-0FF5-4F73-9CBC-6D7402A94731}" name="GRUPP/LAG/SKOLA/ETC." dataDxfId="3082"/>
  </tableColumns>
  <tableStyleInfo name="Hallbokningsschema 2" showFirstColumn="0" showLastColumn="0" showRowStripes="0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4" xr:uid="{DF79B003-1825-4454-880A-EA0EC0E65F90}" name="Tabell437445158798693100107114121128142149156163170177184191198205212219226233240247254261268275282289296303310317324331338345" displayName="Tabell437445158798693100107114121128142149156163170177184191198205212219226233240247254261268275282289296303310317324331338345" ref="A19:F24" totalsRowShown="0" headerRowDxfId="3081" dataDxfId="3080">
  <autoFilter ref="A19:F24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0:F24">
    <sortCondition ref="C20:C24"/>
  </sortState>
  <tableColumns count="6">
    <tableColumn id="1" xr3:uid="{9771F5E0-A40A-4EA9-8B94-21662B02E1E9}" name="DAG" dataDxfId="3079">
      <calculatedColumnFormula>PROPER(TEXT(B20, "dddd"))</calculatedColumnFormula>
    </tableColumn>
    <tableColumn id="2" xr3:uid="{D1F4BB65-FC59-4F2C-B4D5-47C788E042E8}" name="DATUM" dataDxfId="3078">
      <calculatedColumnFormula>Torsdag12</calculatedColumnFormula>
    </tableColumn>
    <tableColumn id="3" xr3:uid="{CC7E195A-29A1-4B6A-8C4D-09C91F46F658}" name="Tid1" dataDxfId="3077"/>
    <tableColumn id="4" xr3:uid="{542E2B67-FF2B-413D-885E-F5C03C5B67B4}" name="TID" dataDxfId="3076"/>
    <tableColumn id="5" xr3:uid="{0F3A19D4-2E8B-41F1-BFEE-66BD518741A5}" name="ANTAL" dataDxfId="3075"/>
    <tableColumn id="6" xr3:uid="{7A01DB36-A49C-4D84-923F-CACEA1E591FD}" name="GRUPP/LAG/SKOLA/ETC." dataDxfId="3074"/>
  </tableColumns>
  <tableStyleInfo name="Hallbokningsschema 2" showFirstColumn="0" showLastColumn="0" showRowStripes="0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5" xr:uid="{0A5CD08C-B646-491A-9BB1-F84D0DCAF968}" name="Tabell538455259808794101108115122129143150157164171178185192199206213220227234241248255262269276283290297304311318325332339346" displayName="Tabell538455259808794101108115122129143150157164171178185192199206213220227234241248255262269276283290297304311318325332339346" ref="A25:F29" totalsRowShown="0" headerRowDxfId="3073" dataDxfId="3072">
  <autoFilter ref="A25:F29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47E410C-1358-4808-9760-F44090F13AAE}" name="DAG" dataDxfId="3071">
      <calculatedColumnFormula>PROPER(TEXT(B26, "dddd"))</calculatedColumnFormula>
    </tableColumn>
    <tableColumn id="2" xr3:uid="{81109CF1-56FB-4496-940F-CCC3BB111F02}" name="DATUM" dataDxfId="3070">
      <calculatedColumnFormula>Fredag12</calculatedColumnFormula>
    </tableColumn>
    <tableColumn id="3" xr3:uid="{5701508E-87A2-4273-B4B1-516063E8455C}" name="Tid1" dataDxfId="3069"/>
    <tableColumn id="4" xr3:uid="{9047EF7E-A9E1-412B-A54B-672ECE5E3BE8}" name="TID" dataDxfId="3068"/>
    <tableColumn id="5" xr3:uid="{AC6C3466-D58A-4265-9413-2BD1A6FA5C9F}" name="ANTAL" dataDxfId="3067"/>
    <tableColumn id="6" xr3:uid="{7BD295A9-85B7-4381-9560-8CC711CE0090}" name="GRUPP/LAG/SKOLA/ETC." dataDxfId="3066"/>
  </tableColumns>
  <tableStyleInfo name="Hallbokningsschema 2" showFirstColumn="0" showLastColumn="0" showRowStripes="0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6" xr:uid="{796C2640-725C-47BF-9A4C-73FC05D4B8F5}" name="Tabell639465360818895102109116123130144151158165172179186193200207214221228235242249256263270277284291298305312319326333340347" displayName="Tabell639465360818895102109116123130144151158165172179186193200207214221228235242249256263270277284291298305312319326333340347" ref="A30:F34" totalsRowShown="0" headerRowDxfId="3065" dataDxfId="3064">
  <autoFilter ref="A30:F34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1:F34">
    <sortCondition ref="C31:C34"/>
  </sortState>
  <tableColumns count="6">
    <tableColumn id="1" xr3:uid="{1C5CCF04-A313-4A33-BE75-C1CE4C3BCC4B}" name="DAG" dataDxfId="3063">
      <calculatedColumnFormula>PROPER(TEXT(B31, "dddd"))</calculatedColumnFormula>
    </tableColumn>
    <tableColumn id="2" xr3:uid="{B026716F-1EC8-46B0-B8E9-B9D33A84B2F2}" name="DATUM" dataDxfId="3062">
      <calculatedColumnFormula>Lördag12</calculatedColumnFormula>
    </tableColumn>
    <tableColumn id="3" xr3:uid="{F5033B1E-CFA3-41C1-B1FA-45787300D4C0}" name="Tid1" dataDxfId="3061"/>
    <tableColumn id="4" xr3:uid="{7E02179E-1D33-4A3E-8C0D-C171F51253CE}" name="TID" dataDxfId="3060"/>
    <tableColumn id="5" xr3:uid="{D3C1AA7E-A95F-49AD-88B8-0EDCB0200314}" name="ANTAL" dataDxfId="3059"/>
    <tableColumn id="6" xr3:uid="{C3AD47F0-89F1-42D1-A90B-AC4F0CE87B0D}" name="GRUPP/LAG/SKOLA/ETC." dataDxfId="3058"/>
  </tableColumns>
  <tableStyleInfo name="Hallbokningsschema 2" showFirstColumn="0" showLastColumn="0" showRowStripes="0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7" xr:uid="{DD901006-E667-4830-972D-208ACCE8DA93}" name="Tabell740475461828996103110117124131145152159166173180187194201208215222229236243250257264271278285292299306313320327334341348" displayName="Tabell740475461828996103110117124131145152159166173180187194201208215222229236243250257264271278285292299306313320327334341348" ref="A35:F37" totalsRowShown="0" headerRowDxfId="3057" dataDxfId="3056">
  <autoFilter ref="A35:F3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6:F37">
    <sortCondition ref="C36:C37"/>
  </sortState>
  <tableColumns count="6">
    <tableColumn id="1" xr3:uid="{66D663C9-6C5B-45D7-A034-4C894B5470B8}" name="DAG" dataDxfId="3055">
      <calculatedColumnFormula>PROPER(TEXT(B36, "dddd"))</calculatedColumnFormula>
    </tableColumn>
    <tableColumn id="2" xr3:uid="{0990F3B2-63D1-4C94-8A0D-19AC2E44AA81}" name="DATUM" dataDxfId="3054">
      <calculatedColumnFormula>Söndag12</calculatedColumnFormula>
    </tableColumn>
    <tableColumn id="3" xr3:uid="{F062AAE1-27C3-4AB9-9B43-D53075DCEA71}" name="Tid1" dataDxfId="3053"/>
    <tableColumn id="4" xr3:uid="{85650E31-1C90-449C-9A2E-10C987D2A0B0}" name="TID" dataDxfId="3052"/>
    <tableColumn id="5" xr3:uid="{5D7F8AC2-DA23-4270-B7DE-112C88122469}" name="ANTAL" dataDxfId="3051"/>
    <tableColumn id="6" xr3:uid="{CF4056FA-A1E8-468A-B576-F0830287F62F}" name="GRUPP/LAG/SKOLA/ETC." dataDxfId="3050"/>
  </tableColumns>
  <tableStyleInfo name="Hallbokningsschema 2" showFirstColumn="0" showLastColumn="0" showRowStripes="0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4" xr:uid="{83239D3F-60A5-4964-9A6B-EC16660ECA06}" name="Tabell13441485576839097104111118125139146153160167174181188195202209216223230237244251258265272279286293300307314321328335" displayName="Tabell13441485576839097104111118125139146153160167174181188195202209216223230237244251258265272279286293300307314321328335" ref="A2:F7" totalsRowShown="0" headerRowDxfId="3029" dataDxfId="3028">
  <autoFilter ref="A2:F7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7">
    <sortCondition ref="C3:C7"/>
  </sortState>
  <tableColumns count="6">
    <tableColumn id="1" xr3:uid="{8B1DE45C-D12F-4EF1-8BF1-FFBBE7E3789D}" name="DAG" dataDxfId="3027">
      <calculatedColumnFormula>PROPER(TEXT(B3, "dddd"))</calculatedColumnFormula>
    </tableColumn>
    <tableColumn id="2" xr3:uid="{D4F61AD4-E696-4C53-B89E-D3C68CAD3C0F}" name="DATUM" dataDxfId="3026">
      <calculatedColumnFormula>Måndag13</calculatedColumnFormula>
    </tableColumn>
    <tableColumn id="3" xr3:uid="{42042C2E-CEC8-4BCA-9292-527908651960}" name="Tid1" dataDxfId="3025"/>
    <tableColumn id="4" xr3:uid="{9FB66615-66B1-431C-BFB5-CA13901194C2}" name="TID" dataDxfId="3024"/>
    <tableColumn id="5" xr3:uid="{AD6A957C-0EBA-4D01-9A27-133F0D480327}" name="ANTAL" dataDxfId="3023"/>
    <tableColumn id="6" xr3:uid="{7D81B05B-FC1E-4BB7-8505-873EB140BC3A}" name="GRUPP/LAG/SKOLA/ETC." dataDxfId="3022"/>
  </tableColumns>
  <tableStyleInfo name="Hallbokningsschema 2" showFirstColumn="0" showLastColumn="0" showRowStripes="0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5" xr:uid="{8A5DA2AE-C764-411A-AE25-0A50A9B0D337}" name="Tabell23542495677849198105112119126140147154161168175182189196203210217224231238245252259266273280287294301308315322329336" displayName="Tabell23542495677849198105112119126140147154161168175182189196203210217224231238245252259266273280287294301308315322329336" ref="A8:F14" totalsRowShown="0" headerRowDxfId="3021" dataDxfId="3020">
  <autoFilter ref="A8:F14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9:F14">
    <sortCondition ref="C9:C14"/>
  </sortState>
  <tableColumns count="6">
    <tableColumn id="1" xr3:uid="{21852F5F-9E28-4494-91C5-FFB18B5E36B7}" name="DAG" dataDxfId="3019">
      <calculatedColumnFormula>PROPER(TEXT(B9, "dddd"))</calculatedColumnFormula>
    </tableColumn>
    <tableColumn id="2" xr3:uid="{248B7438-9230-4942-92EC-E0920F8CC8DF}" name="DATUM" dataDxfId="3018">
      <calculatedColumnFormula>Tisdag13</calculatedColumnFormula>
    </tableColumn>
    <tableColumn id="3" xr3:uid="{4901FD12-1E1C-4320-A4A6-79AB22D51F70}" name="Tid1" dataDxfId="3017"/>
    <tableColumn id="4" xr3:uid="{91DA6F80-4F38-4209-BA13-56950E686291}" name="TID" dataDxfId="3016"/>
    <tableColumn id="5" xr3:uid="{FCC8D2E5-6709-4619-BD33-9D2D9B633E25}" name="ANTAL" dataDxfId="3015"/>
    <tableColumn id="6" xr3:uid="{F75FC9B7-2FDA-42B9-869B-A1DA1307ADB8}" name="GRUPP/LAG/SKOLA/ETC." dataDxfId="3014"/>
  </tableColumns>
  <tableStyleInfo name="Hallbokningsschema 2" showFirstColumn="0" showLastColumn="0" showRowStripes="0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6" xr:uid="{922673B1-FAFC-4B01-AF23-36368665E9ED}" name="Tabell33643505778859299106113120127141148155162169176183190197204211218225232239246253260267274281288295302309316323330337" displayName="Tabell33643505778859299106113120127141148155162169176183190197204211218225232239246253260267274281288295302309316323330337" ref="A15:F22" totalsRowShown="0" headerRowDxfId="3013" dataDxfId="3012">
  <autoFilter ref="A15:F22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6:F22">
    <sortCondition ref="C16:C22"/>
  </sortState>
  <tableColumns count="6">
    <tableColumn id="1" xr3:uid="{460ED372-4388-438F-BB15-940EFB765710}" name="DAG" dataDxfId="3011">
      <calculatedColumnFormula>PROPER(TEXT(B16, "dddd"))</calculatedColumnFormula>
    </tableColumn>
    <tableColumn id="2" xr3:uid="{B224CAD4-945C-4A8F-9697-2CCF8E162F6D}" name="DATUM" dataDxfId="3010">
      <calculatedColumnFormula>Onsdag13</calculatedColumnFormula>
    </tableColumn>
    <tableColumn id="3" xr3:uid="{9B7B66D7-694E-4C83-9A90-9EC9EA559C25}" name="Tid1" dataDxfId="3009"/>
    <tableColumn id="4" xr3:uid="{05BDCBCB-51E5-440D-8FEC-96EE9FB549D7}" name="TID" dataDxfId="3008"/>
    <tableColumn id="5" xr3:uid="{B2DF75DF-618E-45C9-9313-FAD91BCB3C15}" name="ANTAL" dataDxfId="3007"/>
    <tableColumn id="6" xr3:uid="{7D5D7236-02F8-47B5-9D58-F9F94260B847}" name="GRUPP/LAG/SKOLA/ETC." dataDxfId="3006"/>
  </tableColumns>
  <tableStyleInfo name="Hallbokningsschema 2" showFirstColumn="0" showLastColumn="0" showRowStripes="0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7" xr:uid="{AAF7AF78-2E5A-43B2-B0AE-3A52C3F7D2BC}" name="Tabell437445158798693100107114121128142149156163170177184191198205212219226233240247254261268275282289296303310317324331338" displayName="Tabell437445158798693100107114121128142149156163170177184191198205212219226233240247254261268275282289296303310317324331338" ref="A23:F29" totalsRowShown="0" headerRowDxfId="3005" dataDxfId="3004">
  <autoFilter ref="A23:F2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4:F29">
    <sortCondition ref="C24:C29"/>
  </sortState>
  <tableColumns count="6">
    <tableColumn id="1" xr3:uid="{AF6E7DBF-BB3D-4157-B13C-5AD90580CAB7}" name="DAG" dataDxfId="3003">
      <calculatedColumnFormula>PROPER(TEXT(B24, "dddd"))</calculatedColumnFormula>
    </tableColumn>
    <tableColumn id="2" xr3:uid="{A5D488D6-120A-49A0-B470-FBF5F8079DCC}" name="DATUM" dataDxfId="3002">
      <calculatedColumnFormula>Torsdag13</calculatedColumnFormula>
    </tableColumn>
    <tableColumn id="3" xr3:uid="{04AA90AA-02D4-48AC-BF94-077A2E2F7FAC}" name="Tid1" dataDxfId="3001"/>
    <tableColumn id="4" xr3:uid="{BC3F851C-91AA-4E2E-870B-5C5E526F253E}" name="TID" dataDxfId="3000"/>
    <tableColumn id="5" xr3:uid="{170A6CC2-09FB-4896-9550-FB42ED7B66C2}" name="ANTAL" dataDxfId="2999"/>
    <tableColumn id="6" xr3:uid="{72B9855D-FBD3-4BCA-813E-E24CA15F8A77}" name="GRUPP/LAG/SKOLA/ETC." dataDxfId="2998"/>
  </tableColumns>
  <tableStyleInfo name="Hallbokningsschema 2" showFirstColumn="0" showLastColumn="0" showRowStripes="0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8" xr:uid="{D56687EE-19C6-457B-B2CF-F12BC74582E3}" name="Tabell538455259808794101108115122129143150157164171178185192199206213220227234241248255262269276283290297304311318325332339" displayName="Tabell538455259808794101108115122129143150157164171178185192199206213220227234241248255262269276283290297304311318325332339" ref="A30:F35" totalsRowShown="0" headerRowDxfId="2997" dataDxfId="2996">
  <autoFilter ref="A30:F35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1:F35">
    <sortCondition ref="C31:C35"/>
  </sortState>
  <tableColumns count="6">
    <tableColumn id="1" xr3:uid="{D155E779-DABB-428E-9DAA-6F23E329067B}" name="DAG" dataDxfId="2995">
      <calculatedColumnFormula>PROPER(TEXT(B31, "dddd"))</calculatedColumnFormula>
    </tableColumn>
    <tableColumn id="2" xr3:uid="{2C659A7C-7C75-42CD-BC2F-58654B94F8D8}" name="DATUM" dataDxfId="2994">
      <calculatedColumnFormula>Fredag13</calculatedColumnFormula>
    </tableColumn>
    <tableColumn id="3" xr3:uid="{71F81AE8-FF16-4A18-9831-3D643C5B4CA5}" name="Tid1" dataDxfId="2993"/>
    <tableColumn id="4" xr3:uid="{259CA0AF-B880-4563-9E33-06D5EFB0B64C}" name="TID" dataDxfId="2992"/>
    <tableColumn id="5" xr3:uid="{FEBCACF7-2C9F-420F-9A35-7128C4C97E82}" name="ANTAL" dataDxfId="2991"/>
    <tableColumn id="6" xr3:uid="{470C342E-E677-41EF-9F83-AC61E14DDF6D}" name="GRUPP/LAG/SKOLA/ETC." dataDxfId="2990"/>
  </tableColumns>
  <tableStyleInfo name="Hallbokningsschema 2" showFirstColumn="0" showLastColumn="0" showRowStripes="0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9" xr:uid="{4D6A9E5C-747C-4E2E-9064-B2EAB5DF44D1}" name="Tabell639465360818895102109116123130144151158165172179186193200207214221228235242249256263270277284291298305312319326333340" displayName="Tabell639465360818895102109116123130144151158165172179186193200207214221228235242249256263270277284291298305312319326333340" ref="A36:F39" totalsRowShown="0" headerRowDxfId="2989" dataDxfId="2988">
  <autoFilter ref="A36:F39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1472B4B-2B52-4B13-AAA1-1CF36F7645CB}" name="DAG" dataDxfId="2987">
      <calculatedColumnFormula>PROPER(TEXT(B37, "dddd"))</calculatedColumnFormula>
    </tableColumn>
    <tableColumn id="2" xr3:uid="{F758C1E4-C155-4772-87FE-DD805E3838E1}" name="DATUM" dataDxfId="2986">
      <calculatedColumnFormula>Lördag13</calculatedColumnFormula>
    </tableColumn>
    <tableColumn id="3" xr3:uid="{E6160EDE-F7DC-4344-A18A-E4E5CEC7D327}" name="Tid1" dataDxfId="2985"/>
    <tableColumn id="4" xr3:uid="{AB7819E1-23E9-4E3C-805A-79ECFF5170F6}" name="TID" dataDxfId="2984"/>
    <tableColumn id="5" xr3:uid="{36260311-17BE-4059-B3BA-30186C1C6969}" name="ANTAL" dataDxfId="2983"/>
    <tableColumn id="6" xr3:uid="{98DD8A85-3E22-438F-AE92-3107497712A8}" name="GRUPP/LAG/SKOLA/ETC." dataDxfId="2982"/>
  </tableColumns>
  <tableStyleInfo name="Hallbokningsschema 2" showFirstColumn="0" showLastColumn="0" showRowStripes="0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0" xr:uid="{521AF426-09E3-4051-8C07-FD4F17F6A55E}" name="Tabell740475461828996103110117124131145152159166173180187194201208215222229236243250257264271278285292299306313320327334341" displayName="Tabell740475461828996103110117124131145152159166173180187194201208215222229236243250257264271278285292299306313320327334341" ref="A40:F41" totalsRowShown="0" headerRowDxfId="2981" dataDxfId="2980">
  <autoFilter ref="A40:F41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9148111-1779-438B-9D8E-F81EE8A8C0A6}" name="DAG" dataDxfId="2979">
      <calculatedColumnFormula>PROPER(TEXT(B41, "dddd"))</calculatedColumnFormula>
    </tableColumn>
    <tableColumn id="2" xr3:uid="{94609C6D-CEEF-48CD-931A-01C2B822E70E}" name="DATUM" dataDxfId="2978">
      <calculatedColumnFormula>Söndag13</calculatedColumnFormula>
    </tableColumn>
    <tableColumn id="3" xr3:uid="{40D67B46-FF1E-4763-B21A-EA663FDE2B02}" name="Tid1" dataDxfId="2977"/>
    <tableColumn id="4" xr3:uid="{D80E3CD8-7510-4B5F-B3E5-1AACF9831459}" name="TID" dataDxfId="2976"/>
    <tableColumn id="5" xr3:uid="{EDCFCAAD-A99E-4816-97E0-38C344616E8B}" name="ANTAL" dataDxfId="2975"/>
    <tableColumn id="6" xr3:uid="{519D81C1-DC0C-455F-9059-96C6DF2AE367}" name="GRUPP/LAG/SKOLA/ETC." dataDxfId="2974"/>
  </tableColumns>
  <tableStyleInfo name="Hallbokningsschema 2" showFirstColumn="0" showLastColumn="0" showRowStripes="0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7" xr:uid="{92A01A42-1144-4796-8FD1-B15FBAE6EA2D}" name="Tabell13441485576839097104111118125139146153160167174181188195202209216223230237244251258265272279286293300307314321328" displayName="Tabell13441485576839097104111118125139146153160167174181188195202209216223230237244251258265272279286293300307314321328" ref="A2:F7" totalsRowShown="0" headerRowDxfId="2944" dataDxfId="2943">
  <autoFilter ref="A2:F7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7">
    <sortCondition ref="C3:C7"/>
  </sortState>
  <tableColumns count="6">
    <tableColumn id="1" xr3:uid="{9C0604C3-5CD1-4F35-AC6F-074CBD2BE8CC}" name="DAG" dataDxfId="2942">
      <calculatedColumnFormula>PROPER(TEXT(B3, "dddd"))</calculatedColumnFormula>
    </tableColumn>
    <tableColumn id="2" xr3:uid="{63C2E8D8-9F3F-4DE6-BACE-BC5A64A95D18}" name="DATUM" dataDxfId="2941">
      <calculatedColumnFormula>Måndag14</calculatedColumnFormula>
    </tableColumn>
    <tableColumn id="3" xr3:uid="{8ACA3BC1-7573-48B0-8CF9-B08D1FEDABAA}" name="Tid1" dataDxfId="2940"/>
    <tableColumn id="4" xr3:uid="{EBBB964A-81D9-4F4E-B4D3-61A047A426AC}" name="TID" dataDxfId="2939"/>
    <tableColumn id="5" xr3:uid="{C2D90F0F-40CE-4BFA-9B5F-44F408FB6190}" name="ANTAL" dataDxfId="2938"/>
    <tableColumn id="6" xr3:uid="{A85C55F0-4BC5-4EED-8B68-E89926C5B9C3}" name="GRUPP/LAG/SKOLA/ETC." dataDxfId="2937"/>
  </tableColumns>
  <tableStyleInfo name="Hallbokningsschema 2" showFirstColumn="0" showLastColumn="0" showRowStripes="0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8" xr:uid="{9059C9EE-92F0-469B-A22B-4C4E61D560ED}" name="Tabell23542495677849198105112119126140147154161168175182189196203210217224231238245252259266273280287294301308315322329" displayName="Tabell23542495677849198105112119126140147154161168175182189196203210217224231238245252259266273280287294301308315322329" ref="A8:F15" totalsRowShown="0" headerRowDxfId="2936" dataDxfId="2935">
  <autoFilter ref="A8:F1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9:F15">
    <sortCondition ref="C9:C15"/>
  </sortState>
  <tableColumns count="6">
    <tableColumn id="1" xr3:uid="{8A776B0D-AD3E-4EEC-A527-AAEE8156A108}" name="DAG" dataDxfId="2934">
      <calculatedColumnFormula>PROPER(TEXT(B9, "dddd"))</calculatedColumnFormula>
    </tableColumn>
    <tableColumn id="2" xr3:uid="{C9F29E93-6D91-4BE2-B573-1569DB8C4AD1}" name="DATUM" dataDxfId="2933">
      <calculatedColumnFormula>Tisdag14</calculatedColumnFormula>
    </tableColumn>
    <tableColumn id="3" xr3:uid="{65163AA5-9B78-4C67-9273-3EE0066DF592}" name="Tid1" dataDxfId="2932"/>
    <tableColumn id="4" xr3:uid="{5ECF9FFB-196D-4B14-BE77-39C62753F45B}" name="TID" dataDxfId="2931"/>
    <tableColumn id="5" xr3:uid="{CC554DC6-620C-4E81-9A78-FD3AC17B9AE3}" name="ANTAL" dataDxfId="2930"/>
    <tableColumn id="6" xr3:uid="{7251007D-8430-45A2-AE27-2F8188B0D743}" name="GRUPP/LAG/SKOLA/ETC." dataDxfId="2929"/>
  </tableColumns>
  <tableStyleInfo name="Hallbokningsschema 2" showFirstColumn="0" showLastColumn="0" showRowStripes="0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9" xr:uid="{74AC9D8C-F08C-496D-A8E5-14D7CE513030}" name="Tabell33643505778859299106113120127141148155162169176183190197204211218225232239246253260267274281288295302309316323330" displayName="Tabell33643505778859299106113120127141148155162169176183190197204211218225232239246253260267274281288295302309316323330" ref="A16:F23" totalsRowShown="0" headerRowDxfId="2928" dataDxfId="2927">
  <autoFilter ref="A16:F23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7:F23">
    <sortCondition ref="C17:C23"/>
  </sortState>
  <tableColumns count="6">
    <tableColumn id="1" xr3:uid="{F8BDA62C-4772-4D4D-AA3F-DEA22443BFCE}" name="DAG" dataDxfId="2926">
      <calculatedColumnFormula>PROPER(TEXT(B17, "dddd"))</calculatedColumnFormula>
    </tableColumn>
    <tableColumn id="2" xr3:uid="{2833A43B-E04E-4071-85B2-3B0EDBD79C66}" name="DATUM" dataDxfId="2925">
      <calculatedColumnFormula>Onsdag14</calculatedColumnFormula>
    </tableColumn>
    <tableColumn id="3" xr3:uid="{B0D79827-8A5D-4BE8-962B-7BA25E31ECB4}" name="Tid1" dataDxfId="2924"/>
    <tableColumn id="4" xr3:uid="{BCEF4A1F-CEBF-4DDB-B773-DCFB6D1870FF}" name="TID" dataDxfId="2923"/>
    <tableColumn id="5" xr3:uid="{E2EA41B6-1D21-4C3E-8E44-128EEB747F3D}" name="ANTAL" dataDxfId="2922"/>
    <tableColumn id="6" xr3:uid="{1A95337F-2B1B-4A57-B0D0-6BF4FDDCD69C}" name="GRUPP/LAG/SKOLA/ETC." dataDxfId="2921"/>
  </tableColumns>
  <tableStyleInfo name="Hallbokningsschema 2" showFirstColumn="0" showLastColumn="0" showRowStripes="0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0" xr:uid="{1C4A6AA6-E529-45CC-979F-3DC6843CFD69}" name="Tabell437445158798693100107114121128142149156163170177184191198205212219226233240247254261268275282289296303310317324331" displayName="Tabell437445158798693100107114121128142149156163170177184191198205212219226233240247254261268275282289296303310317324331" ref="A24:F30" totalsRowShown="0" headerRowDxfId="2920" dataDxfId="2919">
  <autoFilter ref="A24:F30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5:F30">
    <sortCondition ref="C25:C30"/>
  </sortState>
  <tableColumns count="6">
    <tableColumn id="1" xr3:uid="{C7976026-8081-4305-BCA2-B7F748E3C0E9}" name="DAG" dataDxfId="2918">
      <calculatedColumnFormula>PROPER(TEXT(B25, "dddd"))</calculatedColumnFormula>
    </tableColumn>
    <tableColumn id="2" xr3:uid="{FF9CD093-7D0A-4F7A-A8BA-46185AD4AD24}" name="DATUM" dataDxfId="2917">
      <calculatedColumnFormula>Torsdag14</calculatedColumnFormula>
    </tableColumn>
    <tableColumn id="3" xr3:uid="{8483EA06-56B6-4EA7-8592-D375DD41982F}" name="Tid1" dataDxfId="2916"/>
    <tableColumn id="4" xr3:uid="{8BDE9084-29F8-4BC3-BE7B-F505CC7BDBFE}" name="TID" dataDxfId="2915"/>
    <tableColumn id="5" xr3:uid="{07E21F34-8E0B-4746-9C62-681B5F920F65}" name="ANTAL" dataDxfId="2914"/>
    <tableColumn id="6" xr3:uid="{16FEFBD0-BBFD-4C0D-ADCB-BE1F2C88D9B2}" name="GRUPP/LAG/SKOLA/ETC." dataDxfId="2913"/>
  </tableColumns>
  <tableStyleInfo name="Hallbokningsschema 2" showFirstColumn="0" showLastColumn="0" showRowStripes="0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1" xr:uid="{0A164F2E-9A72-40E8-BF04-9C6F5059761C}" name="Tabell538455259808794101108115122129143150157164171178185192199206213220227234241248255262269276283290297304311318325332" displayName="Tabell538455259808794101108115122129143150157164171178185192199206213220227234241248255262269276283290297304311318325332" ref="A31:F38" totalsRowShown="0" headerRowDxfId="2912" dataDxfId="2911">
  <autoFilter ref="A31:F38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2:F38">
    <sortCondition ref="C32:C38"/>
  </sortState>
  <tableColumns count="6">
    <tableColumn id="1" xr3:uid="{6DC16971-2CD7-447D-BEB8-7080AC2D7499}" name="DAG" dataDxfId="2910">
      <calculatedColumnFormula>PROPER(TEXT(B32, "dddd"))</calculatedColumnFormula>
    </tableColumn>
    <tableColumn id="2" xr3:uid="{26EC07FB-9FCA-471A-8B66-8D0B0ED54131}" name="DATUM" dataDxfId="2909">
      <calculatedColumnFormula>Fredag14</calculatedColumnFormula>
    </tableColumn>
    <tableColumn id="3" xr3:uid="{02C8ED6C-A52C-4E2B-A8FD-666F883FB238}" name="Tid1" dataDxfId="2908"/>
    <tableColumn id="4" xr3:uid="{88FA8A91-4DB2-45F3-AB86-FD81A82A5F8B}" name="TID" dataDxfId="2907"/>
    <tableColumn id="5" xr3:uid="{645FB67C-CAE9-41F2-B479-CC0065634A79}" name="ANTAL" dataDxfId="2906"/>
    <tableColumn id="6" xr3:uid="{F67CC838-45D1-4205-87F1-495F123109EA}" name="GRUPP/LAG/SKOLA/ETC." dataDxfId="2905"/>
  </tableColumns>
  <tableStyleInfo name="Hallbokningsschema 2" showFirstColumn="0" showLastColumn="0" showRowStripes="0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2" xr:uid="{035D89D0-CC4B-4D04-9486-9FFD891AE60A}" name="Tabell639465360818895102109116123130144151158165172179186193200207214221228235242249256263270277284291298305312319326333" displayName="Tabell639465360818895102109116123130144151158165172179186193200207214221228235242249256263270277284291298305312319326333" ref="A39:F41" totalsRowShown="0" headerRowDxfId="2904" dataDxfId="2903">
  <autoFilter ref="A39:F41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48B9F1C-6BB9-44BA-9BF1-C10DB5D64A69}" name="DAG" dataDxfId="2902">
      <calculatedColumnFormula>PROPER(TEXT(B40, "dddd"))</calculatedColumnFormula>
    </tableColumn>
    <tableColumn id="2" xr3:uid="{9CBA0811-26E2-43B6-8B75-DBF1ACF9256E}" name="DATUM" dataDxfId="2901">
      <calculatedColumnFormula>Lördag14</calculatedColumnFormula>
    </tableColumn>
    <tableColumn id="3" xr3:uid="{A6340201-F7D5-414B-A084-9CE1BB91F73D}" name="Tid1" dataDxfId="2900"/>
    <tableColumn id="4" xr3:uid="{E73A8E84-3555-41C9-BF31-66EDAF0FFF4C}" name="TID" dataDxfId="2899"/>
    <tableColumn id="5" xr3:uid="{87C075EF-D09D-4613-83F0-8C8A3DF1B412}" name="ANTAL" dataDxfId="2898"/>
    <tableColumn id="6" xr3:uid="{C487FAE7-F739-4188-95C2-76103DF2B0E1}" name="GRUPP/LAG/SKOLA/ETC." dataDxfId="2897"/>
  </tableColumns>
  <tableStyleInfo name="Hallbokningsschema 2" showFirstColumn="0" showLastColumn="0" showRowStripes="0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3" xr:uid="{09743E20-1997-4CD1-BC7C-465A51121263}" name="Tabell740475461828996103110117124131145152159166173180187194201208215222229236243250257264271278285292299306313320327334" displayName="Tabell740475461828996103110117124131145152159166173180187194201208215222229236243250257264271278285292299306313320327334" ref="A42:F43" totalsRowShown="0" headerRowDxfId="2896" dataDxfId="2895">
  <autoFilter ref="A42:F43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B839D7E-02D5-4B2A-8EE5-FBDAAD21503C}" name="DAG" dataDxfId="2894">
      <calculatedColumnFormula>PROPER(TEXT(B43, "dddd"))</calculatedColumnFormula>
    </tableColumn>
    <tableColumn id="2" xr3:uid="{C9BAA692-D5E6-44F4-8186-11D65D8347C0}" name="DATUM" dataDxfId="2893">
      <calculatedColumnFormula>Söndag14</calculatedColumnFormula>
    </tableColumn>
    <tableColumn id="3" xr3:uid="{B3364FD2-49BA-4836-986D-50B451E3FAF9}" name="Tid1" dataDxfId="2892"/>
    <tableColumn id="4" xr3:uid="{2E5CE2EA-AB03-421D-851A-6BD035146160}" name="TID" dataDxfId="2891"/>
    <tableColumn id="5" xr3:uid="{96250B71-7A3F-4EA3-B03D-BD56A0C0218F}" name="ANTAL" dataDxfId="2890"/>
    <tableColumn id="6" xr3:uid="{A4034A73-35E1-46B1-8F2D-14E6F9BAF185}" name="GRUPP/LAG/SKOLA/ETC." dataDxfId="2889"/>
  </tableColumns>
  <tableStyleInfo name="Hallbokningsschema 2" showFirstColumn="0" showLastColumn="0" showRowStripes="0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0" xr:uid="{2DA037F9-3DED-4923-9554-F4B4452C1A1C}" name="Tabell13441485576839097104111118125139146153160167174181188195202209216223230237244251258265272279286293300307314321" displayName="Tabell13441485576839097104111118125139146153160167174181188195202209216223230237244251258265272279286293300307314321" ref="A2:F8" totalsRowShown="0" headerRowDxfId="2853" dataDxfId="2852">
  <autoFilter ref="A2:F8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8">
    <sortCondition ref="C3:C8"/>
  </sortState>
  <tableColumns count="6">
    <tableColumn id="1" xr3:uid="{F062BB80-94DE-4D47-A39D-C073A9863206}" name="DAG" dataDxfId="2851">
      <calculatedColumnFormula>PROPER(TEXT(B3, "dddd"))</calculatedColumnFormula>
    </tableColumn>
    <tableColumn id="2" xr3:uid="{59609496-6820-493F-AE3F-6935C375C582}" name="DATUM" dataDxfId="2850">
      <calculatedColumnFormula>Måndag15</calculatedColumnFormula>
    </tableColumn>
    <tableColumn id="3" xr3:uid="{9A58418C-F0A2-4806-A6C5-14A6D24F8F7B}" name="Tid1" dataDxfId="2849"/>
    <tableColumn id="4" xr3:uid="{4A0CD85F-7B92-4234-8734-700540E6E047}" name="TID" dataDxfId="2848"/>
    <tableColumn id="5" xr3:uid="{AD8A0074-3460-45D4-8BD6-8F6B8D35B8FB}" name="ANTAL" dataDxfId="2847"/>
    <tableColumn id="6" xr3:uid="{0A123E5A-F421-431B-ACC1-0C72A1338956}" name="GRUPP/LAG/SKOLA/ETC." dataDxfId="2846"/>
  </tableColumns>
  <tableStyleInfo name="Hallbokningsschema 2" showFirstColumn="0" showLastColumn="0" showRowStripes="0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1" xr:uid="{FA928C11-61AC-46E9-BA1E-63901838DAF3}" name="Tabell23542495677849198105112119126140147154161168175182189196203210217224231238245252259266273280287294301308315322" displayName="Tabell23542495677849198105112119126140147154161168175182189196203210217224231238245252259266273280287294301308315322" ref="A9:F16" totalsRowShown="0" headerRowDxfId="2845" dataDxfId="2844">
  <autoFilter ref="A9:F16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6">
    <sortCondition ref="C10:C16"/>
  </sortState>
  <tableColumns count="6">
    <tableColumn id="1" xr3:uid="{FC1690B1-70D3-41C3-8EA4-B39CB06EF3A2}" name="DAG" dataDxfId="2843">
      <calculatedColumnFormula>PROPER(TEXT(B10, "dddd"))</calculatedColumnFormula>
    </tableColumn>
    <tableColumn id="2" xr3:uid="{9197E258-7267-4BAF-9F50-9A2754584EA1}" name="DATUM" dataDxfId="2842">
      <calculatedColumnFormula>Tisdag15</calculatedColumnFormula>
    </tableColumn>
    <tableColumn id="3" xr3:uid="{BD9C3064-E9A8-4017-9E89-16F5D6A8EACB}" name="Tid1" dataDxfId="2841"/>
    <tableColumn id="4" xr3:uid="{0FA03124-0F12-49D2-9F42-065792C58283}" name="TID" dataDxfId="2840"/>
    <tableColumn id="5" xr3:uid="{E06F8412-9CD2-4342-8165-D3A14470B059}" name="ANTAL" dataDxfId="2839"/>
    <tableColumn id="6" xr3:uid="{8AA8872D-4762-4AA4-96A8-6816744A6F6B}" name="GRUPP/LAG/SKOLA/ETC." dataDxfId="2838"/>
  </tableColumns>
  <tableStyleInfo name="Hallbokningsschema 2" showFirstColumn="0" showLastColumn="0" showRowStripes="0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2" xr:uid="{B81F4015-FCA0-4B52-BDB3-EC8F9D75EE2A}" name="Tabell33643505778859299106113120127141148155162169176183190197204211218225232239246253260267274281288295302309316323" displayName="Tabell33643505778859299106113120127141148155162169176183190197204211218225232239246253260267274281288295302309316323" ref="A17:F26" totalsRowShown="0" headerRowDxfId="2837" dataDxfId="2836">
  <autoFilter ref="A17:F26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8:F26">
    <sortCondition ref="C18:C26"/>
  </sortState>
  <tableColumns count="6">
    <tableColumn id="1" xr3:uid="{EB05D00E-2DA6-4954-B9A5-B57E84781ACB}" name="DAG" dataDxfId="2835">
      <calculatedColumnFormula>PROPER(TEXT(B18, "dddd"))</calculatedColumnFormula>
    </tableColumn>
    <tableColumn id="2" xr3:uid="{2B22FB95-F0A3-47B5-9866-F0A268CAAE6A}" name="DATUM" dataDxfId="2834">
      <calculatedColumnFormula>Onsdag15</calculatedColumnFormula>
    </tableColumn>
    <tableColumn id="3" xr3:uid="{AEEF2BE8-9366-497D-A32D-22D8AC9ACC23}" name="Tid1" dataDxfId="2833"/>
    <tableColumn id="4" xr3:uid="{ECCFC04D-21C6-4B91-A689-B1BC1663CC50}" name="TID" dataDxfId="2832"/>
    <tableColumn id="5" xr3:uid="{EC6C89B0-A198-4B3F-82E3-A268D2F9795E}" name="ANTAL" dataDxfId="2831"/>
    <tableColumn id="6" xr3:uid="{B9939208-4A9C-455F-92BD-8DFD2E7D4BF5}" name="GRUPP/LAG/SKOLA/ETC." dataDxfId="2830"/>
  </tableColumns>
  <tableStyleInfo name="Hallbokningsschema 2" showFirstColumn="0" showLastColumn="0" showRowStripes="0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3" xr:uid="{0D649043-B061-4B8C-8C3B-D2DB93529BEB}" name="Tabell437445158798693100107114121128142149156163170177184191198205212219226233240247254261268275282289296303310317324" displayName="Tabell437445158798693100107114121128142149156163170177184191198205212219226233240247254261268275282289296303310317324" ref="A27:F34" totalsRowShown="0" headerRowDxfId="2829" dataDxfId="2828">
  <autoFilter ref="A27:F34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8:F34">
    <sortCondition ref="C28:C34"/>
  </sortState>
  <tableColumns count="6">
    <tableColumn id="1" xr3:uid="{4F72DAA9-5F50-4F76-A713-87D55B73350F}" name="DAG" dataDxfId="2827">
      <calculatedColumnFormula>PROPER(TEXT(B28, "dddd"))</calculatedColumnFormula>
    </tableColumn>
    <tableColumn id="2" xr3:uid="{6EFC1BE9-040C-42A5-9AC1-8CED3DCAE323}" name="DATUM" dataDxfId="2826">
      <calculatedColumnFormula>Torsdag15</calculatedColumnFormula>
    </tableColumn>
    <tableColumn id="3" xr3:uid="{8B3C8EB0-EBEB-4800-AC05-693D58FEF1DC}" name="Tid1" dataDxfId="2825"/>
    <tableColumn id="4" xr3:uid="{B073E806-CB0B-422A-BA1F-C9FFA1B27AA8}" name="TID" dataDxfId="2824"/>
    <tableColumn id="5" xr3:uid="{AA172849-B6E6-4022-A147-D6BB2A0CA3B0}" name="ANTAL" dataDxfId="2823"/>
    <tableColumn id="6" xr3:uid="{EDBD6739-4C4B-44F1-8898-B4607D2902CA}" name="GRUPP/LAG/SKOLA/ETC." dataDxfId="2822"/>
  </tableColumns>
  <tableStyleInfo name="Hallbokningsschema 2" showFirstColumn="0" showLastColumn="0" showRowStripes="0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4" xr:uid="{1163DA2D-1A75-400D-8A2D-7DDA322F9A3C}" name="Tabell538455259808794101108115122129143150157164171178185192199206213220227234241248255262269276283290297304311318325" displayName="Tabell538455259808794101108115122129143150157164171178185192199206213220227234241248255262269276283290297304311318325" ref="A35:F39" totalsRowShown="0" headerRowDxfId="2821" dataDxfId="2820">
  <autoFilter ref="A35:F39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6:F39">
    <sortCondition ref="C36:C39"/>
  </sortState>
  <tableColumns count="6">
    <tableColumn id="1" xr3:uid="{E9B879B5-9543-4C6E-B06F-44C5E74D57FA}" name="DAG" dataDxfId="2819">
      <calculatedColumnFormula>PROPER(TEXT(B36, "dddd"))</calculatedColumnFormula>
    </tableColumn>
    <tableColumn id="2" xr3:uid="{57369B75-3E57-4F97-8F4B-C2F88A053C4C}" name="DATUM" dataDxfId="2818">
      <calculatedColumnFormula>Fredag15</calculatedColumnFormula>
    </tableColumn>
    <tableColumn id="3" xr3:uid="{A08D634E-DE7E-419F-AC5B-E3A6F3C0E7E3}" name="Tid1" dataDxfId="2817"/>
    <tableColumn id="4" xr3:uid="{5BF11AC9-9A59-456C-8FA6-E96472273479}" name="TID" dataDxfId="2816"/>
    <tableColumn id="5" xr3:uid="{F4D0A811-FC35-401F-A7CE-F017E23A0981}" name="ANTAL" dataDxfId="2815"/>
    <tableColumn id="6" xr3:uid="{9111F7EA-265F-42CB-9B4A-FC69826625A2}" name="GRUPP/LAG/SKOLA/ETC." dataDxfId="2814"/>
  </tableColumns>
  <tableStyleInfo name="Hallbokningsschema 2" showFirstColumn="0" showLastColumn="0" showRowStripes="0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5" xr:uid="{5037CD8C-CEDE-4BDE-BD2D-940DFCC96E33}" name="Tabell639465360818895102109116123130144151158165172179186193200207214221228235242249256263270277284291298305312319326" displayName="Tabell639465360818895102109116123130144151158165172179186193200207214221228235242249256263270277284291298305312319326" ref="A40:F44" totalsRowShown="0" headerRowDxfId="2813" dataDxfId="2812">
  <autoFilter ref="A40:F44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9063A2E-B75F-451F-9BC2-674F0B5F8021}" name="DAG" dataDxfId="2811">
      <calculatedColumnFormula>PROPER(TEXT(B41, "dddd"))</calculatedColumnFormula>
    </tableColumn>
    <tableColumn id="2" xr3:uid="{A2601C6A-1637-4EA4-A7DC-F749DD3369DB}" name="DATUM" dataDxfId="2810">
      <calculatedColumnFormula>Lördag15</calculatedColumnFormula>
    </tableColumn>
    <tableColumn id="3" xr3:uid="{99076ECA-18BC-4CFD-85E5-26C673E754BA}" name="Tid1" dataDxfId="2809"/>
    <tableColumn id="4" xr3:uid="{A13647F4-BE78-41D1-A28E-1D78E4BCC450}" name="TID" dataDxfId="2808"/>
    <tableColumn id="5" xr3:uid="{2DA2CB59-E6A6-4104-8814-3610D32D7E4E}" name="ANTAL" dataDxfId="2807"/>
    <tableColumn id="6" xr3:uid="{67D440A8-005B-413C-B9CC-1A7A2D84AA3F}" name="GRUPP/LAG/SKOLA/ETC." dataDxfId="2806"/>
  </tableColumns>
  <tableStyleInfo name="Hallbokningsschema 2" showFirstColumn="0" showLastColumn="0" showRowStripes="0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6" xr:uid="{49BB13F0-378C-4766-91B6-804F4FDCF209}" name="Tabell740475461828996103110117124131145152159166173180187194201208215222229236243250257264271278285292299306313320327" displayName="Tabell740475461828996103110117124131145152159166173180187194201208215222229236243250257264271278285292299306313320327" ref="A45:F47" totalsRowShown="0" headerRowDxfId="2805" dataDxfId="2804">
  <autoFilter ref="A45:F4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B54C17E-2EA9-456A-8AA9-D93B28ECE8FF}" name="DAG" dataDxfId="2803">
      <calculatedColumnFormula>PROPER(TEXT(B46, "dddd"))</calculatedColumnFormula>
    </tableColumn>
    <tableColumn id="2" xr3:uid="{575179C0-5DD6-48E9-B972-ED5B25060624}" name="DATUM" dataDxfId="2802">
      <calculatedColumnFormula>Söndag15</calculatedColumnFormula>
    </tableColumn>
    <tableColumn id="3" xr3:uid="{85CC7EEC-32D9-474C-AD6D-A7D46D688DBE}" name="Tid1" dataDxfId="2801"/>
    <tableColumn id="4" xr3:uid="{2C00CB58-FCEE-48B3-935C-D582881F3FA8}" name="TID" dataDxfId="2800"/>
    <tableColumn id="5" xr3:uid="{F32FB8AA-AC9C-4352-822D-737FCBE15F53}" name="ANTAL" dataDxfId="2799"/>
    <tableColumn id="6" xr3:uid="{6D568812-B5AC-4AEA-B9A7-97722C4A69A8}" name="GRUPP/LAG/SKOLA/ETC." dataDxfId="2798"/>
  </tableColumns>
  <tableStyleInfo name="Hallbokningsschema 2" showFirstColumn="0" showLastColumn="0" showRowStripes="0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5C2CA090-7C7E-49E3-96EF-2D4CBFA01C93}" name="Tabell13441485576839097104111118125139146153160167174181188195202209216223230237244251258265272279286293300307314" displayName="Tabell13441485576839097104111118125139146153160167174181188195202209216223230237244251258265272279286293300307314" ref="A2:F5" totalsRowShown="0" headerRowDxfId="2770" dataDxfId="2769">
  <autoFilter ref="A2:F5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5">
    <sortCondition ref="C3:C5"/>
  </sortState>
  <tableColumns count="6">
    <tableColumn id="1" xr3:uid="{85FBBED4-6FE3-48E0-917C-1CD96F888568}" name="DAG" dataDxfId="2768">
      <calculatedColumnFormula>PROPER(TEXT(B3, "dddd"))</calculatedColumnFormula>
    </tableColumn>
    <tableColumn id="2" xr3:uid="{B0C0221E-B453-478A-A6B7-7D857FDC577D}" name="DATUM" dataDxfId="2767">
      <calculatedColumnFormula>Måndag16</calculatedColumnFormula>
    </tableColumn>
    <tableColumn id="3" xr3:uid="{8634D3B9-FFCD-4ECC-AB2C-800DA6CD6E94}" name="Tid1" dataDxfId="2766"/>
    <tableColumn id="4" xr3:uid="{A1D3108C-AB9C-4421-BE81-2D99F276E7E3}" name="TID" dataDxfId="2765"/>
    <tableColumn id="5" xr3:uid="{D7950CF2-726F-4458-BED6-8A423F12B4AA}" name="ANTAL" dataDxfId="2764"/>
    <tableColumn id="6" xr3:uid="{76DF2A9C-52CD-495F-B3D0-C96884F06951}" name="GRUPP/LAG/SKOLA/ETC." dataDxfId="2763"/>
  </tableColumns>
  <tableStyleInfo name="Hallbokningsschema 2" showFirstColumn="0" showLastColumn="0" showRowStripes="0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BBA06BCF-7BCC-4C5E-8F2E-7B4A8E8A88E1}" name="Tabell23542495677849198105112119126140147154161168175182189196203210217224231238245252259266273280287294301308315" displayName="Tabell23542495677849198105112119126140147154161168175182189196203210217224231238245252259266273280287294301308315" ref="A6:F8" totalsRowShown="0" headerRowDxfId="2762" dataDxfId="2761">
  <autoFilter ref="A6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FE63050-1918-4B17-89B6-948FEBAE98F7}" name="DAG" dataDxfId="2760">
      <calculatedColumnFormula>PROPER(TEXT(B7, "dddd"))</calculatedColumnFormula>
    </tableColumn>
    <tableColumn id="2" xr3:uid="{B800E614-F27D-4712-9E65-F1A8450CD9E9}" name="DATUM" dataDxfId="2759">
      <calculatedColumnFormula>Tisdag16</calculatedColumnFormula>
    </tableColumn>
    <tableColumn id="3" xr3:uid="{DFF211B7-138D-4D66-A653-ED1EA1707426}" name="Tid1" dataDxfId="2758"/>
    <tableColumn id="4" xr3:uid="{80DFB354-6536-4A80-89BF-C924A3388BE2}" name="TID" dataDxfId="2757"/>
    <tableColumn id="5" xr3:uid="{CDAE2F22-8B50-416E-A594-3BC7DBE30C37}" name="ANTAL" dataDxfId="2756"/>
    <tableColumn id="6" xr3:uid="{A7C361A9-A5E4-4A07-A32E-557018342107}" name="GRUPP/LAG/SKOLA/ETC." dataDxfId="2755"/>
  </tableColumns>
  <tableStyleInfo name="Hallbokningsschema 2" showFirstColumn="0" showLastColumn="0" showRowStripes="0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A3FC487C-33EE-4DAA-B544-940EAD01B04A}" name="Tabell33643505778859299106113120127141148155162169176183190197204211218225232239246253260267274281288295302309316" displayName="Tabell33643505778859299106113120127141148155162169176183190197204211218225232239246253260267274281288295302309316" ref="A9:F15" totalsRowShown="0" headerRowDxfId="2754" dataDxfId="2753">
  <autoFilter ref="A9:F15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5">
    <sortCondition ref="C10:C15"/>
  </sortState>
  <tableColumns count="6">
    <tableColumn id="1" xr3:uid="{35D9BA92-F344-4AAA-8275-616ABD67D0C9}" name="DAG" dataDxfId="2752">
      <calculatedColumnFormula>PROPER(TEXT(B10, "dddd"))</calculatedColumnFormula>
    </tableColumn>
    <tableColumn id="2" xr3:uid="{81D1B5CE-3FEB-4187-8BBD-983E41FAF06E}" name="DATUM" dataDxfId="2751">
      <calculatedColumnFormula>Onsdag16</calculatedColumnFormula>
    </tableColumn>
    <tableColumn id="3" xr3:uid="{4887738F-9280-4AD9-BB2D-81809D3D5BBB}" name="Tid1" dataDxfId="2750"/>
    <tableColumn id="4" xr3:uid="{2F1E28B3-D81F-48B6-95C2-467458F1A634}" name="TID" dataDxfId="2749"/>
    <tableColumn id="5" xr3:uid="{EF57A2A7-50DC-43B4-B446-2C92C2A3ECD1}" name="ANTAL" dataDxfId="2748"/>
    <tableColumn id="6" xr3:uid="{42AD5E07-6311-414B-90D1-ACBF2A610AE4}" name="GRUPP/LAG/SKOLA/ETC." dataDxfId="2747"/>
  </tableColumns>
  <tableStyleInfo name="Hallbokningsschema 2" showFirstColumn="0" showLastColumn="0" showRowStripes="0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B8246FF4-AB6E-4E31-A6C0-31F626A32FB9}" name="Tabell437445158798693100107114121128142149156163170177184191198205212219226233240247254261268275282289296303310317" displayName="Tabell437445158798693100107114121128142149156163170177184191198205212219226233240247254261268275282289296303310317" ref="A16:F19" totalsRowShown="0" headerRowDxfId="2746" dataDxfId="2745">
  <autoFilter ref="A16:F1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00C84E9-738B-4AD7-B800-010B703E4796}" name="DAG" dataDxfId="2744">
      <calculatedColumnFormula>PROPER(TEXT(B17, "dddd"))</calculatedColumnFormula>
    </tableColumn>
    <tableColumn id="2" xr3:uid="{D9FA115E-3D96-4E35-B40B-3EEC5389C290}" name="DATUM" dataDxfId="2743">
      <calculatedColumnFormula>Torsdag16</calculatedColumnFormula>
    </tableColumn>
    <tableColumn id="3" xr3:uid="{18B9897E-E538-440D-92E8-50DE18DD75B2}" name="Tid1" dataDxfId="2742"/>
    <tableColumn id="4" xr3:uid="{361A9561-CDEB-4B1C-9B03-5E873AB0E9D5}" name="TID" dataDxfId="2741"/>
    <tableColumn id="5" xr3:uid="{6C5B10D6-D036-42F2-B468-F0D9A3107A40}" name="ANTAL" dataDxfId="2740"/>
    <tableColumn id="6" xr3:uid="{0DE6D240-39C4-41CF-BDB1-A8CF21B70752}" name="GRUPP/LAG/SKOLA/ETC." dataDxfId="2739"/>
  </tableColumns>
  <tableStyleInfo name="Hallbokningsschema 2" showFirstColumn="0" showLastColumn="0" showRowStripes="0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6836A0B2-F255-4E9D-8BBC-FF81FCDCD2E0}" name="Tabell538455259808794101108115122129143150157164171178185192199206213220227234241248255262269276283290297304311318" displayName="Tabell538455259808794101108115122129143150157164171178185192199206213220227234241248255262269276283290297304311318" ref="A20:F21" totalsRowShown="0" headerRowDxfId="2738" dataDxfId="2737">
  <autoFilter ref="A20:F2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862983F-A623-494D-BB08-7B46D3EE008F}" name="DAG" dataDxfId="2736">
      <calculatedColumnFormula>PROPER(TEXT(B21, "dddd"))</calculatedColumnFormula>
    </tableColumn>
    <tableColumn id="2" xr3:uid="{17896678-80C5-4FCB-B1C9-718AF725A699}" name="DATUM" dataDxfId="2735">
      <calculatedColumnFormula>Fredag16</calculatedColumnFormula>
    </tableColumn>
    <tableColumn id="3" xr3:uid="{809823E8-BEA1-4E56-B5B8-C5AB69608A5D}" name="Tid1" dataDxfId="2734"/>
    <tableColumn id="4" xr3:uid="{35C4532D-948B-45FE-99AC-20D39003A552}" name="TID" dataDxfId="2733"/>
    <tableColumn id="5" xr3:uid="{D4288FA1-0AC8-44BB-8B22-89EE517E0C15}" name="ANTAL" dataDxfId="2732"/>
    <tableColumn id="6" xr3:uid="{99FAD291-21C5-40D4-9627-FC60FA05CA58}" name="GRUPP/LAG/SKOLA/ETC." dataDxfId="2731"/>
  </tableColumns>
  <tableStyleInfo name="Hallbokningsschema 2" showFirstColumn="0" showLastColumn="0" showRowStripes="0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116958B2-C43D-42AC-A905-2555A6A1B106}" name="Tabell639465360818895102109116123130144151158165172179186193200207214221228235242249256263270277284291298305312319" displayName="Tabell639465360818895102109116123130144151158165172179186193200207214221228235242249256263270277284291298305312319" ref="A22:F23" totalsRowShown="0" headerRowDxfId="2730" dataDxfId="2729">
  <autoFilter ref="A22:F2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14A9996-1870-421E-ACB6-862483769FBD}" name="DAG" dataDxfId="2728">
      <calculatedColumnFormula>PROPER(TEXT(B23, "dddd"))</calculatedColumnFormula>
    </tableColumn>
    <tableColumn id="2" xr3:uid="{E43D9954-08EC-449D-9176-422904B30BB2}" name="DATUM" dataDxfId="2727">
      <calculatedColumnFormula>Lördag16</calculatedColumnFormula>
    </tableColumn>
    <tableColumn id="3" xr3:uid="{EC2CCA22-96E0-4E9E-B9D1-F64515CC0B3C}" name="Tid1" dataDxfId="2726"/>
    <tableColumn id="4" xr3:uid="{A9C92620-68F7-447D-BA40-AACCF6FF7CDB}" name="TID" dataDxfId="2725"/>
    <tableColumn id="5" xr3:uid="{B1639FC2-DF70-49B2-9379-68417CDB8874}" name="ANTAL" dataDxfId="2724"/>
    <tableColumn id="6" xr3:uid="{CA5688FA-0AE1-49FE-B526-5887EF680565}" name="GRUPP/LAG/SKOLA/ETC." dataDxfId="2723"/>
  </tableColumns>
  <tableStyleInfo name="Hallbokningsschema 2" showFirstColumn="0" showLastColumn="0" showRowStripes="0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9" xr:uid="{D536063B-38C6-4293-9B29-7041291A7266}" name="Tabell740475461828996103110117124131145152159166173180187194201208215222229236243250257264271278285292299306313320" displayName="Tabell740475461828996103110117124131145152159166173180187194201208215222229236243250257264271278285292299306313320" ref="A24:F25" totalsRowShown="0" headerRowDxfId="2722" dataDxfId="2721">
  <autoFilter ref="A24:F2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61F2E2E-0F1E-4A5E-A0E2-9F4D56F38389}" name="DAG" dataDxfId="2720">
      <calculatedColumnFormula>PROPER(TEXT(B25, "dddd"))</calculatedColumnFormula>
    </tableColumn>
    <tableColumn id="2" xr3:uid="{1F4C1698-8210-4127-A451-117BF6E699CA}" name="DATUM" dataDxfId="2719">
      <calculatedColumnFormula>Söndag16</calculatedColumnFormula>
    </tableColumn>
    <tableColumn id="3" xr3:uid="{D5A76310-829A-4D92-9994-82C6C9DD90A3}" name="Tid1" dataDxfId="2718"/>
    <tableColumn id="4" xr3:uid="{70EAFE4E-8C7A-496A-83D2-9663AEAD77BE}" name="TID" dataDxfId="2717"/>
    <tableColumn id="5" xr3:uid="{691BC68A-7DAA-49F6-9317-A2B560D13BED}" name="ANTAL" dataDxfId="2716"/>
    <tableColumn id="6" xr3:uid="{D3BE9A69-18F8-449F-9860-1500721B6219}" name="GRUPP/LAG/SKOLA/ETC." dataDxfId="2715"/>
  </tableColumns>
  <tableStyleInfo name="Hallbokningsschema 2" showFirstColumn="0" showLastColumn="0" showRowStripes="0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6" xr:uid="{D3DB1790-CEDE-48F6-B29E-F755A728A6B6}" name="Tabell13441485576839097104111118125139146153160167174181188195202209216223230237244251258265272279286293300307" displayName="Tabell13441485576839097104111118125139146153160167174181188195202209216223230237244251258265272279286293300307" ref="A2:F3" totalsRowShown="0" headerRowDxfId="2696" dataDxfId="2695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8841235-D8B3-4BD4-A7CB-2B784BD2123E}" name="DAG" dataDxfId="2694">
      <calculatedColumnFormula>PROPER(TEXT(B3, "dddd"))</calculatedColumnFormula>
    </tableColumn>
    <tableColumn id="2" xr3:uid="{E0BDFFFF-51F4-4303-A00B-CF9330CD7216}" name="DATUM" dataDxfId="2693">
      <calculatedColumnFormula>Måndag17</calculatedColumnFormula>
    </tableColumn>
    <tableColumn id="3" xr3:uid="{5200D789-2E30-45C5-AB60-7E847CAD57D2}" name="Tid1" dataDxfId="2692"/>
    <tableColumn id="4" xr3:uid="{335F15D1-9AC2-4AE5-B465-011B01D40E20}" name="TID" dataDxfId="2691"/>
    <tableColumn id="5" xr3:uid="{27EDF92F-92EC-4687-859B-E25D1D44E035}" name="ANTAL" dataDxfId="2690"/>
    <tableColumn id="6" xr3:uid="{5F4BC06C-56CE-4262-B30B-135F05D7B88B}" name="GRUPP/LAG/SKOLA/ETC." dataDxfId="2689"/>
  </tableColumns>
  <tableStyleInfo name="Hallbokningsschema 2" showFirstColumn="0" showLastColumn="0" showRowStripes="0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7035B52A-64F7-49A9-A3BA-B52F7EB9CB0D}" name="Tabell23542495677849198105112119126140147154161168175182189196203210217224231238245252259266273280287294301308" displayName="Tabell23542495677849198105112119126140147154161168175182189196203210217224231238245252259266273280287294301308" ref="A4:F10" totalsRowShown="0" headerRowDxfId="2688" dataDxfId="2687">
  <autoFilter ref="A4:F10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5AA8403-C797-439B-84F1-F4DBA3F0D26C}" name="DAG" dataDxfId="2686">
      <calculatedColumnFormula>PROPER(TEXT(B5, "dddd"))</calculatedColumnFormula>
    </tableColumn>
    <tableColumn id="2" xr3:uid="{72127997-6BAD-40AB-B08D-0B9220609956}" name="DATUM" dataDxfId="2685">
      <calculatedColumnFormula>Tisdag17</calculatedColumnFormula>
    </tableColumn>
    <tableColumn id="3" xr3:uid="{2F01FD75-A14C-416B-9833-6070576E08E3}" name="Tid1" dataDxfId="2684"/>
    <tableColumn id="4" xr3:uid="{D759EB00-F220-4D2D-B972-EF4063762669}" name="TID" dataDxfId="2683"/>
    <tableColumn id="5" xr3:uid="{691ABE50-DBCE-4CAF-9D65-46262265A04E}" name="ANTAL" dataDxfId="2682"/>
    <tableColumn id="6" xr3:uid="{93222E90-0FD4-4CA2-B3F9-D85DEE6E7115}" name="GRUPP/LAG/SKOLA/ETC." dataDxfId="2681"/>
  </tableColumns>
  <tableStyleInfo name="Hallbokningsschema 2" showFirstColumn="0" showLastColumn="0" showRowStripes="0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75AC953C-37FA-4F1F-8AAB-F01E82236DA1}" name="Tabell33643505778859299106113120127141148155162169176183190197204211218225232239246253260267274281288295302309" displayName="Tabell33643505778859299106113120127141148155162169176183190197204211218225232239246253260267274281288295302309" ref="A11:F18" totalsRowShown="0" headerRowDxfId="2680" dataDxfId="2679">
  <autoFilter ref="A11:F18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D07F31A-0E41-4D1E-A135-1A17007E7338}" name="DAG" dataDxfId="2678">
      <calculatedColumnFormula>PROPER(TEXT(B12, "dddd"))</calculatedColumnFormula>
    </tableColumn>
    <tableColumn id="2" xr3:uid="{11D2BADC-7277-42C8-902D-24A52943BB29}" name="DATUM" dataDxfId="2677">
      <calculatedColumnFormula>Onsdag17</calculatedColumnFormula>
    </tableColumn>
    <tableColumn id="3" xr3:uid="{1C0642B6-A5B7-4D4B-8798-3054FC8FA4D1}" name="Tid1" dataDxfId="2676"/>
    <tableColumn id="4" xr3:uid="{D42A9367-9B91-400A-AE70-435F7BBE52EE}" name="TID" dataDxfId="2675"/>
    <tableColumn id="5" xr3:uid="{936E4F17-93FE-4907-BA57-E3242EAA2A80}" name="ANTAL" dataDxfId="2674"/>
    <tableColumn id="6" xr3:uid="{230C0D91-C507-4F2B-BFF0-69742AA259EF}" name="GRUPP/LAG/SKOLA/ETC." dataDxfId="2673"/>
  </tableColumns>
  <tableStyleInfo name="Hallbokningsschema 2" showFirstColumn="0" showLastColumn="0" showRowStripes="0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3B2F8F87-225F-4C6C-BEB5-0274D57CFB2F}" name="Tabell437445158798693100107114121128142149156163170177184191198205212219226233240247254261268275282289296303310" displayName="Tabell437445158798693100107114121128142149156163170177184191198205212219226233240247254261268275282289296303310" ref="A19:F24" totalsRowShown="0" headerRowDxfId="2672" dataDxfId="2671">
  <autoFilter ref="A19:F24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4BB6980-B938-4490-ABA0-AB30C3153E69}" name="DAG" dataDxfId="2670">
      <calculatedColumnFormula>PROPER(TEXT(B20, "dddd"))</calculatedColumnFormula>
    </tableColumn>
    <tableColumn id="2" xr3:uid="{B6103D5F-2E17-4FD2-B755-DE76FDAB8008}" name="DATUM" dataDxfId="2669">
      <calculatedColumnFormula>Torsdag17</calculatedColumnFormula>
    </tableColumn>
    <tableColumn id="3" xr3:uid="{D3CDAC15-562F-4D2C-AC9B-A7372AF50E81}" name="Tid1" dataDxfId="2668"/>
    <tableColumn id="4" xr3:uid="{529B297D-8F96-4608-8000-4672BE099022}" name="TID" dataDxfId="2667"/>
    <tableColumn id="5" xr3:uid="{E28E76E2-B6F3-4F03-97B7-11F6F1FAA505}" name="ANTAL" dataDxfId="2666"/>
    <tableColumn id="6" xr3:uid="{E750513C-6E9C-449C-A7F3-242B99084A00}" name="GRUPP/LAG/SKOLA/ETC." dataDxfId="2665"/>
  </tableColumns>
  <tableStyleInfo name="Hallbokningsschema 2" showFirstColumn="0" showLastColumn="0" showRowStripes="0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8618BFE8-A7EE-4995-9400-67EEE05CDC75}" name="Tabell538455259808794101108115122129143150157164171178185192199206213220227234241248255262269276283290297304311" displayName="Tabell538455259808794101108115122129143150157164171178185192199206213220227234241248255262269276283290297304311" ref="A25:F29" totalsRowShown="0" headerRowDxfId="2664" dataDxfId="2663">
  <autoFilter ref="A25:F29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A83AF43-0D2A-4D59-B220-E634F844D107}" name="DAG" dataDxfId="2662">
      <calculatedColumnFormula>PROPER(TEXT(B26, "dddd"))</calculatedColumnFormula>
    </tableColumn>
    <tableColumn id="2" xr3:uid="{112E2691-A357-4308-9DC9-307DBD772C04}" name="DATUM" dataDxfId="2661">
      <calculatedColumnFormula>Fredag17</calculatedColumnFormula>
    </tableColumn>
    <tableColumn id="3" xr3:uid="{991A765E-10EC-4712-B620-9AB6BBDC5C5F}" name="Tid1" dataDxfId="2660"/>
    <tableColumn id="4" xr3:uid="{18BD3B1F-C9EB-49B6-AFCB-8297D2B03A45}" name="TID" dataDxfId="2659"/>
    <tableColumn id="5" xr3:uid="{E6C21959-9407-439E-8B96-27F4C285E920}" name="ANTAL" dataDxfId="2658"/>
    <tableColumn id="6" xr3:uid="{B1A12E21-3E58-431F-8DFF-A2B5401093C8}" name="GRUPP/LAG/SKOLA/ETC." dataDxfId="2657"/>
  </tableColumns>
  <tableStyleInfo name="Hallbokningsschema 2" showFirstColumn="0" showLastColumn="0" showRowStripes="0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F774EBAB-8243-4857-9F7C-10264F2384B8}" name="Tabell639465360818895102109116123130144151158165172179186193200207214221228235242249256263270277284291298305312" displayName="Tabell639465360818895102109116123130144151158165172179186193200207214221228235242249256263270277284291298305312" ref="A30:F33" totalsRowShown="0" headerRowDxfId="2656" dataDxfId="2655">
  <autoFilter ref="A30:F3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3801AC1-2284-4151-89C2-257383AF48FD}" name="DAG" dataDxfId="2654">
      <calculatedColumnFormula>PROPER(TEXT(B31, "dddd"))</calculatedColumnFormula>
    </tableColumn>
    <tableColumn id="2" xr3:uid="{8E430EB8-E71F-488A-B1A4-0B66C83D2E66}" name="DATUM" dataDxfId="2653">
      <calculatedColumnFormula>Lördag17</calculatedColumnFormula>
    </tableColumn>
    <tableColumn id="3" xr3:uid="{12A48820-ACB0-4B4F-A671-50AD0F680DA4}" name="Tid1" dataDxfId="2652"/>
    <tableColumn id="4" xr3:uid="{6E414A2B-3193-4945-AB1D-1575EE88D2DF}" name="TID" dataDxfId="2651"/>
    <tableColumn id="5" xr3:uid="{AEC24FEC-191E-4A04-8402-95DC4732326E}" name="ANTAL" dataDxfId="2650"/>
    <tableColumn id="6" xr3:uid="{EB30674F-0AD0-465E-9B22-7729714E334D}" name="GRUPP/LAG/SKOLA/ETC." dataDxfId="2649"/>
  </tableColumns>
  <tableStyleInfo name="Hallbokningsschema 2" showFirstColumn="0" showLastColumn="0" showRowStripes="0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58326BDC-202C-4812-B750-FC98721C8E68}" name="Tabell740475461828996103110117124131145152159166173180187194201208215222229236243250257264271278285292299306313" displayName="Tabell740475461828996103110117124131145152159166173180187194201208215222229236243250257264271278285292299306313" ref="A34:F35" totalsRowShown="0" headerRowDxfId="2648" dataDxfId="2647">
  <autoFilter ref="A34:F3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623FA00-9589-48AC-A61D-8BE6E2D1EAE1}" name="DAG" dataDxfId="2646">
      <calculatedColumnFormula>PROPER(TEXT(B35, "dddd"))</calculatedColumnFormula>
    </tableColumn>
    <tableColumn id="2" xr3:uid="{D984B014-35FE-471C-95D0-869C88B8182C}" name="DATUM" dataDxfId="2645">
      <calculatedColumnFormula>Söndag17</calculatedColumnFormula>
    </tableColumn>
    <tableColumn id="3" xr3:uid="{16BED2C9-EFF5-49E1-A517-42281917AB35}" name="Tid1" dataDxfId="2644"/>
    <tableColumn id="4" xr3:uid="{FA8309D7-CA26-471D-8EE3-67602A900C32}" name="TID" dataDxfId="2643"/>
    <tableColumn id="5" xr3:uid="{A1BC873F-B9DA-4426-92FD-99A71617AE47}" name="ANTAL" dataDxfId="2642"/>
    <tableColumn id="6" xr3:uid="{7216CE8F-AFA0-4DDC-8F77-A4F9697D240A}" name="GRUPP/LAG/SKOLA/ETC." dataDxfId="2641"/>
  </tableColumns>
  <tableStyleInfo name="Hallbokningsschema 2" showFirstColumn="0" showLastColumn="0" showRowStripes="0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9" xr:uid="{572CDE9A-8277-4221-9F0D-1F5068F71D85}" name="Tabell13441485576839097104111118125139146153160167174181188195202209216223230237244251258265272279286293300" displayName="Tabell13441485576839097104111118125139146153160167174181188195202209216223230237244251258265272279286293300" ref="A2:F5" totalsRowShown="0" headerRowDxfId="2623" dataDxfId="2622">
  <autoFilter ref="A2:F5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3253F80-C0E7-4BA1-8AF9-F9C568D49FCE}" name="DAG" dataDxfId="2621">
      <calculatedColumnFormula>PROPER(TEXT(B3, "dddd"))</calculatedColumnFormula>
    </tableColumn>
    <tableColumn id="2" xr3:uid="{932F98A6-D640-4929-A61C-63C617583EE7}" name="DATUM" dataDxfId="2620">
      <calculatedColumnFormula>Måndag18</calculatedColumnFormula>
    </tableColumn>
    <tableColumn id="3" xr3:uid="{0A31DBEA-5542-4D98-87AA-6763118635E9}" name="Tid1" dataDxfId="2619"/>
    <tableColumn id="4" xr3:uid="{334FB7C9-4E8A-4017-9056-51B897396B12}" name="TID" dataDxfId="2618"/>
    <tableColumn id="5" xr3:uid="{6A873EBF-80C0-4BEE-A00C-F3EB6E534DF7}" name="ANTAL" dataDxfId="2617"/>
    <tableColumn id="6" xr3:uid="{86B7D26D-CFE1-49C8-8EBE-029F09B5B538}" name="GRUPP/LAG/SKOLA/ETC." dataDxfId="2616"/>
  </tableColumns>
  <tableStyleInfo name="Hallbokningsschema 2" showFirstColumn="0" showLastColumn="0" showRowStripes="0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0" xr:uid="{1498E182-C406-40FD-A124-285F692F9D11}" name="Tabell23542495677849198105112119126140147154161168175182189196203210217224231238245252259266273280287294301" displayName="Tabell23542495677849198105112119126140147154161168175182189196203210217224231238245252259266273280287294301" ref="A6:F11" totalsRowShown="0" headerRowDxfId="2615" dataDxfId="2614">
  <autoFilter ref="A6:F11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275007D-1F10-4641-847B-E1194BBF7C1C}" name="DAG" dataDxfId="2613">
      <calculatedColumnFormula>PROPER(TEXT(B7, "dddd"))</calculatedColumnFormula>
    </tableColumn>
    <tableColumn id="2" xr3:uid="{117F9BEC-B1FC-40D6-91AE-714F8381362D}" name="DATUM" dataDxfId="2612">
      <calculatedColumnFormula>Tisdag18</calculatedColumnFormula>
    </tableColumn>
    <tableColumn id="3" xr3:uid="{B4F7A92D-AC08-43A3-8B3C-1E2A89718868}" name="Tid1" dataDxfId="2611"/>
    <tableColumn id="4" xr3:uid="{488109BF-138D-4F56-A00E-4A07B74168A9}" name="TID" dataDxfId="2610"/>
    <tableColumn id="5" xr3:uid="{E57FC424-D464-499D-9420-62B234ED2CAA}" name="ANTAL" dataDxfId="2609"/>
    <tableColumn id="6" xr3:uid="{BF52E98A-F521-40DB-9867-890AA101B0D0}" name="GRUPP/LAG/SKOLA/ETC." dataDxfId="2608"/>
  </tableColumns>
  <tableStyleInfo name="Hallbokningsschema 2" showFirstColumn="0" showLastColumn="0" showRowStripes="0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1" xr:uid="{1D1B4B48-13AE-4C2A-9288-8EF6A13E315A}" name="Tabell33643505778859299106113120127141148155162169176183190197204211218225232239246253260267274281288295302" displayName="Tabell33643505778859299106113120127141148155162169176183190197204211218225232239246253260267274281288295302" ref="A12:F17" totalsRowShown="0" headerRowDxfId="2607" dataDxfId="2606">
  <autoFilter ref="A12:F1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2BA668C-B5E3-4083-8B98-D12F7AF8CE3E}" name="DAG" dataDxfId="2605">
      <calculatedColumnFormula>PROPER(TEXT(B13, "dddd"))</calculatedColumnFormula>
    </tableColumn>
    <tableColumn id="2" xr3:uid="{48A2BD50-840B-41A1-99E3-7190A497CC50}" name="DATUM" dataDxfId="2604">
      <calculatedColumnFormula>Onsdag18</calculatedColumnFormula>
    </tableColumn>
    <tableColumn id="3" xr3:uid="{6D6EC648-DC86-45BF-A259-4B3757AC2D9C}" name="Tid1" dataDxfId="2603"/>
    <tableColumn id="4" xr3:uid="{7EF8FF58-009A-47BB-B7C9-50AA93269CC3}" name="TID" dataDxfId="2602"/>
    <tableColumn id="5" xr3:uid="{C08C159D-4881-4FFB-ABE8-00A6664BE21C}" name="ANTAL" dataDxfId="2601"/>
    <tableColumn id="6" xr3:uid="{015FFE04-8B5B-40B6-9CA6-52CB099C5BF6}" name="GRUPP/LAG/SKOLA/ETC." dataDxfId="2600"/>
  </tableColumns>
  <tableStyleInfo name="Hallbokningsschema 2" showFirstColumn="0" showLastColumn="0" showRowStripes="0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2" xr:uid="{860CCC59-40DD-470F-AB13-8232AF618C42}" name="Tabell437445158798693100107114121128142149156163170177184191198205212219226233240247254261268275282289296303" displayName="Tabell437445158798693100107114121128142149156163170177184191198205212219226233240247254261268275282289296303" ref="A18:F19" totalsRowShown="0" headerRowDxfId="2599" dataDxfId="2598">
  <autoFilter ref="A18:F1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7EE2B90-581A-4CF5-A9CE-8E1ED64D80A2}" name="DAG" dataDxfId="2597">
      <calculatedColumnFormula>PROPER(TEXT(B19, "dddd"))</calculatedColumnFormula>
    </tableColumn>
    <tableColumn id="2" xr3:uid="{C760F097-4AB6-47BD-997F-ED74D287598D}" name="DATUM" dataDxfId="2596">
      <calculatedColumnFormula>Torsdag18</calculatedColumnFormula>
    </tableColumn>
    <tableColumn id="3" xr3:uid="{BFEDF46D-2F2E-432D-98BC-5F4F23EB35AF}" name="Tid1" dataDxfId="2595"/>
    <tableColumn id="4" xr3:uid="{DFC5D9ED-12C6-41E6-B8F2-80EC580F8B10}" name="TID" dataDxfId="2594"/>
    <tableColumn id="5" xr3:uid="{E8E277AE-0A40-4A89-8378-04A028834124}" name="ANTAL" dataDxfId="2593"/>
    <tableColumn id="6" xr3:uid="{19F8993F-A055-4EFF-815D-44EDD7FFECF5}" name="GRUPP/LAG/SKOLA/ETC." dataDxfId="2592"/>
  </tableColumns>
  <tableStyleInfo name="Hallbokningsschema 2" showFirstColumn="0" showLastColumn="0" showRowStripes="0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3" xr:uid="{E0C643E9-197E-4B37-A226-DAAD9AE68FBC}" name="Tabell538455259808794101108115122129143150157164171178185192199206213220227234241248255262269276283290297304" displayName="Tabell538455259808794101108115122129143150157164171178185192199206213220227234241248255262269276283290297304" ref="A20:F23" totalsRowShown="0" headerRowDxfId="2591" dataDxfId="2590">
  <autoFilter ref="A20:F23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BFFE000-E596-4010-A9AB-CBF6AB13C75A}" name="DAG" dataDxfId="2589">
      <calculatedColumnFormula>PROPER(TEXT(B21, "dddd"))</calculatedColumnFormula>
    </tableColumn>
    <tableColumn id="2" xr3:uid="{30ECAF65-64F7-4412-A6B7-61C3A52F7759}" name="DATUM" dataDxfId="2588">
      <calculatedColumnFormula>Fredag18</calculatedColumnFormula>
    </tableColumn>
    <tableColumn id="3" xr3:uid="{21B7E9D8-5D17-4E36-BC48-8AF8DACE244D}" name="Tid1" dataDxfId="2587"/>
    <tableColumn id="4" xr3:uid="{E78BDFC8-271F-445E-917E-373BA15E7273}" name="TID" dataDxfId="2586"/>
    <tableColumn id="5" xr3:uid="{0D15859C-A861-4E06-AE60-57AAE2C8D3EB}" name="ANTAL" dataDxfId="2585"/>
    <tableColumn id="6" xr3:uid="{A11EB1A4-D09C-48A5-82F1-CB564C674ACD}" name="GRUPP/LAG/SKOLA/ETC." dataDxfId="2584"/>
  </tableColumns>
  <tableStyleInfo name="Hallbokningsschema 2" showFirstColumn="0" showLastColumn="0" showRowStripes="0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4" xr:uid="{25903D52-1E01-498C-A0D8-94902CC969FB}" name="Tabell639465360818895102109116123130144151158165172179186193200207214221228235242249256263270277284291298305" displayName="Tabell639465360818895102109116123130144151158165172179186193200207214221228235242249256263270277284291298305" ref="A24:F26" totalsRowShown="0" headerRowDxfId="2583" dataDxfId="2582">
  <autoFilter ref="A24:F26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BB53047-FD7A-4EE7-9A8D-E1FB208351B1}" name="DAG" dataDxfId="2581">
      <calculatedColumnFormula>PROPER(TEXT(B25, "dddd"))</calculatedColumnFormula>
    </tableColumn>
    <tableColumn id="2" xr3:uid="{20CA06C0-1877-4CB5-9867-B81DDB07E5E7}" name="DATUM" dataDxfId="2580">
      <calculatedColumnFormula>Lördag18</calculatedColumnFormula>
    </tableColumn>
    <tableColumn id="3" xr3:uid="{2B9783FD-3F84-4C67-8C36-A30B7EB96D9D}" name="Tid1" dataDxfId="2579"/>
    <tableColumn id="4" xr3:uid="{75CE4556-7E00-480A-9DE0-7CFE485F7971}" name="TID" dataDxfId="2578"/>
    <tableColumn id="5" xr3:uid="{54C639C3-F7C2-4B1B-AD75-2998D7EDC6C8}" name="ANTAL" dataDxfId="2577"/>
    <tableColumn id="6" xr3:uid="{FA0499C5-FFF8-434A-BC9E-53D5F88EF679}" name="GRUPP/LAG/SKOLA/ETC." dataDxfId="2576"/>
  </tableColumns>
  <tableStyleInfo name="Hallbokningsschema 2" showFirstColumn="0" showLastColumn="0" showRowStripes="0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5" xr:uid="{30763E05-9B0F-4B83-B6CC-76BD37FF1801}" name="Tabell740475461828996103110117124131145152159166173180187194201208215222229236243250257264271278285292299306" displayName="Tabell740475461828996103110117124131145152159166173180187194201208215222229236243250257264271278285292299306" ref="A27:F28" totalsRowShown="0" headerRowDxfId="2575" dataDxfId="2574">
  <autoFilter ref="A27:F28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6F9F08D-2F11-427F-911B-5F545841E6A9}" name="DAG" dataDxfId="2573">
      <calculatedColumnFormula>PROPER(TEXT(B28, "dddd"))</calculatedColumnFormula>
    </tableColumn>
    <tableColumn id="2" xr3:uid="{87A123B4-72EB-4DC0-89D0-5F8AD6CE3617}" name="DATUM" dataDxfId="2572">
      <calculatedColumnFormula>Söndag18</calculatedColumnFormula>
    </tableColumn>
    <tableColumn id="3" xr3:uid="{1487F614-9894-4709-8517-9E5E6BCB8848}" name="Tid1" dataDxfId="2571"/>
    <tableColumn id="4" xr3:uid="{B8E3DE26-94F3-4954-8F6E-68CF9C70EB53}" name="TID" dataDxfId="2570"/>
    <tableColumn id="5" xr3:uid="{5DF97B2C-2CC8-4191-860E-FC696530E8E6}" name="ANTAL" dataDxfId="2569"/>
    <tableColumn id="6" xr3:uid="{07CBC741-65EC-48E7-BEF4-82BA5F0A2183}" name="GRUPP/LAG/SKOLA/ETC." dataDxfId="2568"/>
  </tableColumns>
  <tableStyleInfo name="Hallbokningsschema 2" showFirstColumn="0" showLastColumn="0" showRowStripes="0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2" xr:uid="{AD187F54-4A78-4EEE-9A38-817548D9CE67}" name="Tabell13441485576839097104111118125139146153160167174181188195202209216223230237244251258265272279286293" displayName="Tabell13441485576839097104111118125139146153160167174181188195202209216223230237244251258265272279286293" ref="A2:F5" totalsRowShown="0" headerRowDxfId="2548" dataDxfId="2547">
  <autoFilter ref="A2:F5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0F2A248-E925-460A-8B0D-BE251A0E54A1}" name="DAG" dataDxfId="2546">
      <calculatedColumnFormula>PROPER(TEXT(B3, "dddd"))</calculatedColumnFormula>
    </tableColumn>
    <tableColumn id="2" xr3:uid="{3F79CC0E-4F11-4E8A-B0AD-661DF056B75A}" name="DATUM" dataDxfId="2545">
      <calculatedColumnFormula>Måndag19</calculatedColumnFormula>
    </tableColumn>
    <tableColumn id="3" xr3:uid="{B11155F6-70F4-4D8B-9CF2-3CAC7FF5B3C2}" name="Tid1" dataDxfId="2544"/>
    <tableColumn id="4" xr3:uid="{9261D484-F0F7-4CE8-B20A-36A7C78DF22F}" name="TID" dataDxfId="2543"/>
    <tableColumn id="5" xr3:uid="{4192A810-55C5-4AF0-A385-2EC532181E31}" name="ANTAL" dataDxfId="2542"/>
    <tableColumn id="6" xr3:uid="{7C8E1714-DA3B-498A-9B47-75FA5332CC79}" name="GRUPP/LAG/SKOLA/ETC." dataDxfId="2541"/>
  </tableColumns>
  <tableStyleInfo name="Hallbokningsschema 2" showFirstColumn="0" showLastColumn="0" showRowStripes="0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3" xr:uid="{D066949A-B41B-450D-90DD-B1BE30DA09EF}" name="Tabell23542495677849198105112119126140147154161168175182189196203210217224231238245252259266273280287294" displayName="Tabell23542495677849198105112119126140147154161168175182189196203210217224231238245252259266273280287294" ref="A6:F11" totalsRowShown="0" headerRowDxfId="2540" dataDxfId="2539">
  <autoFilter ref="A6:F11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03CD1A3-9CAE-41D7-B01B-D34CE1DBDDDC}" name="DAG" dataDxfId="2538">
      <calculatedColumnFormula>PROPER(TEXT(B7, "dddd"))</calculatedColumnFormula>
    </tableColumn>
    <tableColumn id="2" xr3:uid="{A0FE3F8F-5225-4066-B8C9-A5484EE5FFFE}" name="DATUM" dataDxfId="2537">
      <calculatedColumnFormula>Tisdag19</calculatedColumnFormula>
    </tableColumn>
    <tableColumn id="3" xr3:uid="{6312006F-D8C5-40E1-AC27-D205B7FE3917}" name="Tid1" dataDxfId="2536"/>
    <tableColumn id="4" xr3:uid="{438FB090-F647-43E0-9078-D5371E96399C}" name="TID" dataDxfId="2535"/>
    <tableColumn id="5" xr3:uid="{DC306BC4-767A-4DD8-8438-664E38CAE31A}" name="ANTAL" dataDxfId="2534"/>
    <tableColumn id="6" xr3:uid="{A39566A3-DFE8-47E6-9D92-DA03EAD505D5}" name="GRUPP/LAG/SKOLA/ETC." dataDxfId="2533"/>
  </tableColumns>
  <tableStyleInfo name="Hallbokningsschema 2" showFirstColumn="0" showLastColumn="0" showRowStripes="0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4" xr:uid="{EFFEE468-EDE5-47A5-AEEB-766CBC8127D6}" name="Tabell33643505778859299106113120127141148155162169176183190197204211218225232239246253260267274281288295" displayName="Tabell33643505778859299106113120127141148155162169176183190197204211218225232239246253260267274281288295" ref="A12:F17" totalsRowShown="0" headerRowDxfId="2532" dataDxfId="2531">
  <autoFilter ref="A12:F1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3:F17">
    <sortCondition ref="C13:C17"/>
  </sortState>
  <tableColumns count="6">
    <tableColumn id="1" xr3:uid="{5F2E5E03-251E-4DEC-911E-2EE6C8C40061}" name="DAG" dataDxfId="2530">
      <calculatedColumnFormula>PROPER(TEXT(B13, "dddd"))</calculatedColumnFormula>
    </tableColumn>
    <tableColumn id="2" xr3:uid="{A192E2F7-8D19-4374-93DB-AF7EA54D11EF}" name="DATUM" dataDxfId="2529">
      <calculatedColumnFormula>Onsdag19</calculatedColumnFormula>
    </tableColumn>
    <tableColumn id="3" xr3:uid="{47A5E14E-6F76-453E-9FD7-C492DD589D6F}" name="Tid1" dataDxfId="2528"/>
    <tableColumn id="4" xr3:uid="{A580ED93-5137-4D2E-8AD2-B92AF707CDD6}" name="TID" dataDxfId="2527"/>
    <tableColumn id="5" xr3:uid="{E5191016-C140-410E-A178-2B66F93CE9C0}" name="ANTAL" dataDxfId="2526"/>
    <tableColumn id="6" xr3:uid="{46E5BBCD-FF2A-42D7-A31A-281D8DB1D602}" name="GRUPP/LAG/SKOLA/ETC." dataDxfId="2525"/>
  </tableColumns>
  <tableStyleInfo name="Hallbokningsschema 2" showFirstColumn="0" showLastColumn="0" showRowStripes="0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5" xr:uid="{4F29A81A-DCFA-44F7-82F6-713A3050C47F}" name="Tabell437445158798693100107114121128142149156163170177184191198205212219226233240247254261268275282289296" displayName="Tabell437445158798693100107114121128142149156163170177184191198205212219226233240247254261268275282289296" ref="A18:F23" totalsRowShown="0" headerRowDxfId="2524" dataDxfId="2523">
  <autoFilter ref="A18:F23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9:F23">
    <sortCondition ref="C19:C23"/>
  </sortState>
  <tableColumns count="6">
    <tableColumn id="1" xr3:uid="{FD23F0B5-567C-4364-91E0-49DA2A880D86}" name="DAG" dataDxfId="2522">
      <calculatedColumnFormula>PROPER(TEXT(B19, "dddd"))</calculatedColumnFormula>
    </tableColumn>
    <tableColumn id="2" xr3:uid="{E88682D3-5592-4DB8-97B1-DBC0A8508B55}" name="DATUM" dataDxfId="2521">
      <calculatedColumnFormula>Torsdag19</calculatedColumnFormula>
    </tableColumn>
    <tableColumn id="3" xr3:uid="{1DB1FED3-A2E4-4441-8E6F-EAF55E375648}" name="Tid1" dataDxfId="2520"/>
    <tableColumn id="4" xr3:uid="{2035BFE2-6D50-483F-A1B7-4621145A2A7D}" name="TID" dataDxfId="2519"/>
    <tableColumn id="5" xr3:uid="{56B6FB01-452B-4788-82FF-57748B7B5E15}" name="ANTAL" dataDxfId="2518"/>
    <tableColumn id="6" xr3:uid="{EA1D5560-D0EB-456A-A926-E15B7DF1A8FF}" name="GRUPP/LAG/SKOLA/ETC." dataDxfId="2517"/>
  </tableColumns>
  <tableStyleInfo name="Hallbokningsschema 2" showFirstColumn="0" showLastColumn="0" showRowStripes="0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7FBA161A-3F02-4F84-B5EC-7F948CB7B245}" name="Tabell538455259808794101108115122129143150157164171178185192199206213220227234241248255262269276283290297" displayName="Tabell538455259808794101108115122129143150157164171178185192199206213220227234241248255262269276283290297" ref="A24:F28" totalsRowShown="0" headerRowDxfId="2516" dataDxfId="2515">
  <autoFilter ref="A24:F28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A095B0C-F440-424B-A03B-48C9617135A9}" name="DAG" dataDxfId="2514">
      <calculatedColumnFormula>PROPER(TEXT(B25, "dddd"))</calculatedColumnFormula>
    </tableColumn>
    <tableColumn id="2" xr3:uid="{91DAD765-E9A1-4AA3-B901-423B0660618B}" name="DATUM" dataDxfId="2513">
      <calculatedColumnFormula>Fredag19</calculatedColumnFormula>
    </tableColumn>
    <tableColumn id="3" xr3:uid="{CEB3F7BC-A42B-4E3F-9A64-4DD6193A778D}" name="Tid1" dataDxfId="2512"/>
    <tableColumn id="4" xr3:uid="{F02E4AE4-6864-42EB-9AF3-8644953CC406}" name="TID" dataDxfId="2511"/>
    <tableColumn id="5" xr3:uid="{F12F84FF-C2D7-4247-9F4F-BE8906FAA06B}" name="ANTAL" dataDxfId="2510"/>
    <tableColumn id="6" xr3:uid="{817A8F49-7F49-47FE-9FF3-CD59F74CAD3E}" name="GRUPP/LAG/SKOLA/ETC." dataDxfId="2509"/>
  </tableColumns>
  <tableStyleInfo name="Hallbokningsschema 2" showFirstColumn="0" showLastColumn="0" showRowStripes="0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414A96F2-9662-4FF0-ABBE-DEE1FC1252BB}" name="Tabell639465360818895102109116123130144151158165172179186193200207214221228235242249256263270277284291298" displayName="Tabell639465360818895102109116123130144151158165172179186193200207214221228235242249256263270277284291298" ref="A29:F30" totalsRowShown="0" headerRowDxfId="2508" dataDxfId="2507">
  <autoFilter ref="A29:F30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7B73119-7181-4D4E-BA1E-6274A8C8DFC7}" name="DAG" dataDxfId="2506">
      <calculatedColumnFormula>PROPER(TEXT(B30, "dddd"))</calculatedColumnFormula>
    </tableColumn>
    <tableColumn id="2" xr3:uid="{5348AC38-4F20-4791-B10A-8BABC3C6E03A}" name="DATUM" dataDxfId="2505">
      <calculatedColumnFormula>Lördag19</calculatedColumnFormula>
    </tableColumn>
    <tableColumn id="3" xr3:uid="{737D08BD-C291-41F9-BF12-C83D7311A24B}" name="Tid1" dataDxfId="2504"/>
    <tableColumn id="4" xr3:uid="{994442F9-4160-4AC9-82EF-EB1952113767}" name="TID" dataDxfId="2503"/>
    <tableColumn id="5" xr3:uid="{542B2CC8-8994-42BA-8003-00ACE41B6D74}" name="ANTAL" dataDxfId="2502"/>
    <tableColumn id="6" xr3:uid="{22F6190E-2017-448F-8AB6-C7449C4EA83B}" name="GRUPP/LAG/SKOLA/ETC." dataDxfId="2501"/>
  </tableColumns>
  <tableStyleInfo name="Hallbokningsschema 2" showFirstColumn="0" showLastColumn="0" showRowStripes="0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8" xr:uid="{FFD969B6-A413-4897-9192-071466585A93}" name="Tabell740475461828996103110117124131145152159166173180187194201208215222229236243250257264271278285292299" displayName="Tabell740475461828996103110117124131145152159166173180187194201208215222229236243250257264271278285292299" ref="A31:F32" totalsRowShown="0" headerRowDxfId="2500" dataDxfId="2499">
  <autoFilter ref="A31:F32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2030B0D-859D-4436-A82B-DED2B26C1B3C}" name="DAG" dataDxfId="2498">
      <calculatedColumnFormula>PROPER(TEXT(B32, "dddd"))</calculatedColumnFormula>
    </tableColumn>
    <tableColumn id="2" xr3:uid="{244E35A0-D08F-494F-A25C-0F4EB77C09EF}" name="DATUM" dataDxfId="2497">
      <calculatedColumnFormula>Söndag19</calculatedColumnFormula>
    </tableColumn>
    <tableColumn id="3" xr3:uid="{738391C9-074D-4E96-BA97-E69C14974689}" name="Tid1" dataDxfId="2496"/>
    <tableColumn id="4" xr3:uid="{AAAA36FC-E01C-4820-8B39-B317B0800766}" name="TID" dataDxfId="2495"/>
    <tableColumn id="5" xr3:uid="{D3EC8B49-9ECA-4118-B233-2AC1C6AA4EE9}" name="ANTAL" dataDxfId="2494"/>
    <tableColumn id="6" xr3:uid="{E7EA84A5-A9EA-4596-B5F9-4EAEAA2FEAC5}" name="GRUPP/LAG/SKOLA/ETC." dataDxfId="2493"/>
  </tableColumns>
  <tableStyleInfo name="Hallbokningsschema 2" showFirstColumn="0" showLastColumn="0" showRowStripes="0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5" xr:uid="{77C63AEB-1354-4AB7-AEB9-5117002A4294}" name="Tabell13441485576839097104111118125139146153160167174181188195202209216223230237244251258265272279286" displayName="Tabell13441485576839097104111118125139146153160167174181188195202209216223230237244251258265272279286" ref="A2:F3" totalsRowShown="0" headerRowDxfId="2476" dataDxfId="2475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FACD5F-84AC-473D-8235-50BD9EBC413A}" name="DAG" dataDxfId="2474">
      <calculatedColumnFormula>PROPER(TEXT(B3, "dddd"))</calculatedColumnFormula>
    </tableColumn>
    <tableColumn id="2" xr3:uid="{6F3BE0A9-5C59-468B-ACAD-0350D5F80AFD}" name="DATUM" dataDxfId="2473">
      <calculatedColumnFormula>Måndag20</calculatedColumnFormula>
    </tableColumn>
    <tableColumn id="3" xr3:uid="{C27730E3-B602-427D-AE7B-A700D6A59B48}" name="Tid1" dataDxfId="2472"/>
    <tableColumn id="4" xr3:uid="{40902797-2D24-475E-9148-33C888E9F98E}" name="TID" dataDxfId="2471"/>
    <tableColumn id="5" xr3:uid="{0D15C595-FAB3-44E4-AE61-28FBC2C97128}" name="ANTAL" dataDxfId="2470"/>
    <tableColumn id="6" xr3:uid="{D13FF5BF-299A-4558-BF9E-CD41EC617210}" name="GRUPP/LAG/SKOLA/ETC." dataDxfId="2469"/>
  </tableColumns>
  <tableStyleInfo name="Hallbokningsschema 2" showFirstColumn="0" showLastColumn="0" showRowStripes="0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6" xr:uid="{E729817F-54D8-4FA5-8557-786E5FDF00B1}" name="Tabell23542495677849198105112119126140147154161168175182189196203210217224231238245252259266273280287" displayName="Tabell23542495677849198105112119126140147154161168175182189196203210217224231238245252259266273280287" ref="A4:F8" totalsRowShown="0" headerRowDxfId="2468" dataDxfId="2467">
  <autoFilter ref="A4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5D2907D-27C9-403B-814C-7C67D3E8A64D}" name="DAG" dataDxfId="2466">
      <calculatedColumnFormula>PROPER(TEXT(B5, "dddd"))</calculatedColumnFormula>
    </tableColumn>
    <tableColumn id="2" xr3:uid="{23F845F3-AFBD-412A-8BE2-3E37B5858C64}" name="DATUM" dataDxfId="2465">
      <calculatedColumnFormula>Tisdag20</calculatedColumnFormula>
    </tableColumn>
    <tableColumn id="3" xr3:uid="{7E4194B6-FA0E-4ABC-8A2C-431F12A8BB87}" name="Tid1" dataDxfId="2464"/>
    <tableColumn id="4" xr3:uid="{8EEBAF1F-F7AC-4B38-8780-5A1DEDAEBB46}" name="TID" dataDxfId="2463"/>
    <tableColumn id="5" xr3:uid="{A33CABB4-CB44-44FB-87A5-188BC4AB2A08}" name="ANTAL" dataDxfId="2462"/>
    <tableColumn id="6" xr3:uid="{FCBCF97D-CDF3-458A-BB49-FFE8BAD1E797}" name="GRUPP/LAG/SKOLA/ETC." dataDxfId="2461"/>
  </tableColumns>
  <tableStyleInfo name="Hallbokningsschema 2" showFirstColumn="0" showLastColumn="0" showRowStripes="0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7" xr:uid="{12E3395A-EB48-4090-99D9-B3526C15880B}" name="Tabell33643505778859299106113120127141148155162169176183190197204211218225232239246253260267274281288" displayName="Tabell33643505778859299106113120127141148155162169176183190197204211218225232239246253260267274281288" ref="A9:F14" totalsRowShown="0" headerRowDxfId="2460" dataDxfId="2459">
  <autoFilter ref="A9:F14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4DF7A94-F5E1-4092-A1B7-EF7DF799D2D6}" name="DAG" dataDxfId="2458">
      <calculatedColumnFormula>PROPER(TEXT(B10, "dddd"))</calculatedColumnFormula>
    </tableColumn>
    <tableColumn id="2" xr3:uid="{4FC5A1BC-FB51-4067-8910-AB3269A01DEE}" name="DATUM" dataDxfId="2457">
      <calculatedColumnFormula>Onsdag20</calculatedColumnFormula>
    </tableColumn>
    <tableColumn id="3" xr3:uid="{F4F40A79-5707-4247-B274-A17AAD34A1B6}" name="Tid1" dataDxfId="2456"/>
    <tableColumn id="4" xr3:uid="{6B60BD77-6F97-4370-89CC-05868974205B}" name="TID" dataDxfId="2455"/>
    <tableColumn id="5" xr3:uid="{6D229DCC-233F-498D-BFDA-C2665EB657B9}" name="ANTAL" dataDxfId="2454"/>
    <tableColumn id="6" xr3:uid="{9EE705C2-3ADD-4F0B-9A34-5000608622A4}" name="GRUPP/LAG/SKOLA/ETC." dataDxfId="2453"/>
  </tableColumns>
  <tableStyleInfo name="Hallbokningsschema 2" showFirstColumn="0" showLastColumn="0" showRowStripes="0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8" xr:uid="{985B52AD-17CB-4640-BC8D-CF90D9E5E125}" name="Tabell437445158798693100107114121128142149156163170177184191198205212219226233240247254261268275282289" displayName="Tabell437445158798693100107114121128142149156163170177184191198205212219226233240247254261268275282289" ref="A15:F20" totalsRowShown="0" headerRowDxfId="2452" dataDxfId="2451">
  <autoFilter ref="A15:F20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286689B-BC89-43D5-852C-D5D59949415A}" name="DAG" dataDxfId="2450">
      <calculatedColumnFormula>PROPER(TEXT(B16, "dddd"))</calculatedColumnFormula>
    </tableColumn>
    <tableColumn id="2" xr3:uid="{76650B43-227A-469E-8884-1A5DC7511B6D}" name="DATUM" dataDxfId="2449">
      <calculatedColumnFormula>Torsdag20</calculatedColumnFormula>
    </tableColumn>
    <tableColumn id="3" xr3:uid="{2BB0D5C5-0A71-489E-83CF-B6B4822D45FE}" name="Tid1" dataDxfId="2448"/>
    <tableColumn id="4" xr3:uid="{F14481DC-943E-439B-9E6F-BCDD2097FB9B}" name="TID" dataDxfId="2447"/>
    <tableColumn id="5" xr3:uid="{C8338325-9E97-44A6-9DD9-CBA5D91AF427}" name="ANTAL" dataDxfId="2446"/>
    <tableColumn id="6" xr3:uid="{850CD337-F33D-4351-9815-0F43C0334E6B}" name="GRUPP/LAG/SKOLA/ETC." dataDxfId="2445"/>
  </tableColumns>
  <tableStyleInfo name="Hallbokningsschema 2" showFirstColumn="0" showLastColumn="0" showRowStripes="0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9" xr:uid="{73AA1D94-A189-4EA3-AE04-AB1BA1A47E86}" name="Tabell538455259808794101108115122129143150157164171178185192199206213220227234241248255262269276283290" displayName="Tabell538455259808794101108115122129143150157164171178185192199206213220227234241248255262269276283290" ref="A21:F26" totalsRowShown="0" headerRowDxfId="2444" dataDxfId="2443">
  <autoFilter ref="A21:F26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2:F26">
    <sortCondition ref="C22:C26"/>
  </sortState>
  <tableColumns count="6">
    <tableColumn id="1" xr3:uid="{9FD70676-9C0B-4EC6-89F6-D2E6267314FA}" name="DAG" dataDxfId="2442">
      <calculatedColumnFormula>PROPER(TEXT(B22, "dddd"))</calculatedColumnFormula>
    </tableColumn>
    <tableColumn id="2" xr3:uid="{4BE928D7-25F4-4FA3-AA82-A294F89AD2DC}" name="DATUM" dataDxfId="2441">
      <calculatedColumnFormula>Fredag20</calculatedColumnFormula>
    </tableColumn>
    <tableColumn id="3" xr3:uid="{0B34107C-DD84-44FB-B5DB-3504E761B9A0}" name="Tid1" dataDxfId="2440"/>
    <tableColumn id="4" xr3:uid="{042AF7E6-6C22-4596-ABC4-C9ED1EA9118E}" name="TID" dataDxfId="2439"/>
    <tableColumn id="5" xr3:uid="{0CD60ED2-FB34-4F0F-B623-8730B5836860}" name="ANTAL" dataDxfId="2438"/>
    <tableColumn id="6" xr3:uid="{5B648967-75FE-4FAE-A4D0-7A6A0326299D}" name="GRUPP/LAG/SKOLA/ETC." dataDxfId="2437"/>
  </tableColumns>
  <tableStyleInfo name="Hallbokningsschema 2" showFirstColumn="0" showLastColumn="0" showRowStripes="0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0" xr:uid="{61E157AD-A4A2-4E3B-B3F4-468240409135}" name="Tabell639465360818895102109116123130144151158165172179186193200207214221228235242249256263270277284291" displayName="Tabell639465360818895102109116123130144151158165172179186193200207214221228235242249256263270277284291" ref="A27:F28" totalsRowShown="0" headerRowDxfId="2436" dataDxfId="2435">
  <autoFilter ref="A27:F28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7A4916E-3B1E-47FB-9933-C3EEB3C87B09}" name="DAG" dataDxfId="2434">
      <calculatedColumnFormula>PROPER(TEXT(B28, "dddd"))</calculatedColumnFormula>
    </tableColumn>
    <tableColumn id="2" xr3:uid="{FDF7FC7E-AD11-4AFA-8D29-066253F5F959}" name="DATUM" dataDxfId="2433">
      <calculatedColumnFormula>Lördag20</calculatedColumnFormula>
    </tableColumn>
    <tableColumn id="3" xr3:uid="{4262DD74-D6FA-4D0B-9CF2-B149A537AC3B}" name="Tid1" dataDxfId="2432"/>
    <tableColumn id="4" xr3:uid="{A86BB1C8-E0B7-414A-9BC5-B97D06CA97AC}" name="TID" dataDxfId="2431"/>
    <tableColumn id="5" xr3:uid="{CE23F607-289D-4C38-B243-A7E8CAE050A0}" name="ANTAL" dataDxfId="2430"/>
    <tableColumn id="6" xr3:uid="{974878D4-B6B6-41DE-9C5A-428E1468366C}" name="GRUPP/LAG/SKOLA/ETC." dataDxfId="2429"/>
  </tableColumns>
  <tableStyleInfo name="Hallbokningsschema 2" showFirstColumn="0" showLastColumn="0" showRowStripes="0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1" xr:uid="{74720893-D86F-4C7A-A221-93F5381C6E80}" name="Tabell740475461828996103110117124131145152159166173180187194201208215222229236243250257264271278285292" displayName="Tabell740475461828996103110117124131145152159166173180187194201208215222229236243250257264271278285292" ref="A29:F30" totalsRowShown="0" headerRowDxfId="2428" dataDxfId="2427">
  <autoFilter ref="A29:F30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F7BE0CE-0967-46C8-B644-FF625802B1F4}" name="DAG" dataDxfId="2426">
      <calculatedColumnFormula>PROPER(TEXT(B30, "dddd"))</calculatedColumnFormula>
    </tableColumn>
    <tableColumn id="2" xr3:uid="{04E55DC4-570A-44BF-B133-3CDC49FCF053}" name="DATUM" dataDxfId="2425">
      <calculatedColumnFormula>Söndag20</calculatedColumnFormula>
    </tableColumn>
    <tableColumn id="3" xr3:uid="{D543A908-6237-41CD-B344-2B18296EDE9A}" name="Tid1" dataDxfId="2424"/>
    <tableColumn id="4" xr3:uid="{F9276038-A6CF-459F-8500-0A6443A29CF7}" name="TID" dataDxfId="2423"/>
    <tableColumn id="5" xr3:uid="{D11E5D8A-DC20-4872-AD8A-15F9550F174D}" name="ANTAL" dataDxfId="2422"/>
    <tableColumn id="6" xr3:uid="{20DFD5B9-9D1A-40EC-9D97-52C1F978D6B5}" name="GRUPP/LAG/SKOLA/ETC." dataDxfId="2421"/>
  </tableColumns>
  <tableStyleInfo name="Hallbokningsschema 2" showFirstColumn="0" showLastColumn="0" showRowStripes="0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8" xr:uid="{BE708C74-0B5B-4338-A7EE-41C602804684}" name="Tabell13441485576839097104111118125139146153160167174181188195202209216223230237244251258265272279" displayName="Tabell13441485576839097104111118125139146153160167174181188195202209216223230237244251258265272279" ref="A2:F3" totalsRowShown="0" headerRowDxfId="2395" dataDxfId="239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3C68F2A-B65B-4BBC-9FA7-ED304FE3CE2B}" name="DAG" dataDxfId="2393">
      <calculatedColumnFormula>PROPER(TEXT(B3, "dddd"))</calculatedColumnFormula>
    </tableColumn>
    <tableColumn id="2" xr3:uid="{191028DC-82AF-4517-9E12-744D0F899043}" name="DATUM" dataDxfId="2392">
      <calculatedColumnFormula>Måndag21</calculatedColumnFormula>
    </tableColumn>
    <tableColumn id="3" xr3:uid="{00835CE3-FC6A-4445-8339-6134D9D12492}" name="Tid1" dataDxfId="2391"/>
    <tableColumn id="4" xr3:uid="{E50EFD99-8D79-4E54-A8DE-95B8E9D56359}" name="TID" dataDxfId="2390"/>
    <tableColumn id="5" xr3:uid="{D68D99C4-6117-4819-ABB7-07F44B477D5B}" name="ANTAL" dataDxfId="2389"/>
    <tableColumn id="6" xr3:uid="{DC68560C-5FEB-4AA5-9AE3-BA623F1006B5}" name="GRUPP/LAG/SKOLA/ETC." dataDxfId="2388"/>
  </tableColumns>
  <tableStyleInfo name="Hallbokningsschema 2" showFirstColumn="0" showLastColumn="0" showRowStripes="0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9" xr:uid="{E4C73A72-DD00-4D32-8220-79DEA54CA9F4}" name="Tabell23542495677849198105112119126140147154161168175182189196203210217224231238245252259266273280" displayName="Tabell23542495677849198105112119126140147154161168175182189196203210217224231238245252259266273280" ref="A4:F6" totalsRowShown="0" headerRowDxfId="2387" dataDxfId="2386">
  <autoFilter ref="A4:F6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C677DD8-83F0-4E4E-895D-809E0757E9B9}" name="DAG" dataDxfId="2385">
      <calculatedColumnFormula>PROPER(TEXT(B5, "dddd"))</calculatedColumnFormula>
    </tableColumn>
    <tableColumn id="2" xr3:uid="{6576BE6C-B94D-4283-B4F2-0B671BA91093}" name="DATUM" dataDxfId="2384">
      <calculatedColumnFormula>Tisdag21</calculatedColumnFormula>
    </tableColumn>
    <tableColumn id="3" xr3:uid="{A1C6DDFC-45DA-41A1-A207-19EE63F36790}" name="Tid1" dataDxfId="2383"/>
    <tableColumn id="4" xr3:uid="{F1F878B7-D352-4D40-855E-525D0F749E15}" name="TID" dataDxfId="2382"/>
    <tableColumn id="5" xr3:uid="{818234E7-FC72-4FC6-8999-68C6ABF61C71}" name="ANTAL" dataDxfId="2381"/>
    <tableColumn id="6" xr3:uid="{3E4A5232-CC38-49B1-89FD-08AD47945531}" name="GRUPP/LAG/SKOLA/ETC." dataDxfId="2380"/>
  </tableColumns>
  <tableStyleInfo name="Hallbokningsschema 2" showFirstColumn="0" showLastColumn="0" showRowStripes="0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0" xr:uid="{6555917F-977B-4C1B-AA91-8A36080308C0}" name="Tabell33643505778859299106113120127141148155162169176183190197204211218225232239246253260267274281" displayName="Tabell33643505778859299106113120127141148155162169176183190197204211218225232239246253260267274281" ref="A7:F8" totalsRowShown="0" headerRowDxfId="2379" dataDxfId="2378">
  <autoFilter ref="A7:F8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38BDE70-1CD2-402D-BB7D-49EF7A72027F}" name="DAG" dataDxfId="2377">
      <calculatedColumnFormula>PROPER(TEXT(B8, "dddd"))</calculatedColumnFormula>
    </tableColumn>
    <tableColumn id="2" xr3:uid="{0DD1F2A9-1F75-4C6F-AE45-A8BEE15A877A}" name="DATUM" dataDxfId="2376">
      <calculatedColumnFormula>Onsdag21</calculatedColumnFormula>
    </tableColumn>
    <tableColumn id="3" xr3:uid="{22275F1C-5F87-4C87-9D60-872EE052CD33}" name="Tid1" dataDxfId="2375"/>
    <tableColumn id="4" xr3:uid="{A8C44F2C-F514-455A-BDB0-AC6B10545E8B}" name="TID" dataDxfId="2374"/>
    <tableColumn id="5" xr3:uid="{17394F08-DE73-47B1-975E-66A5F7AC4806}" name="ANTAL" dataDxfId="2373"/>
    <tableColumn id="6" xr3:uid="{83321663-2B33-4846-9A8D-66641EE70296}" name="GRUPP/LAG/SKOLA/ETC." dataDxfId="2372"/>
  </tableColumns>
  <tableStyleInfo name="Hallbokningsschema 2" showFirstColumn="0" showLastColumn="0" showRowStripes="0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1" xr:uid="{A5B58175-AA1F-4236-AD9E-B696913BD6B3}" name="Tabell437445158798693100107114121128142149156163170177184191198205212219226233240247254261268275282" displayName="Tabell437445158798693100107114121128142149156163170177184191198205212219226233240247254261268275282" ref="A9:F11" totalsRowShown="0" headerRowDxfId="2371" dataDxfId="2370">
  <autoFilter ref="A9:F11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ABCFB28-4F3B-4BF6-B2C1-DF284A38FDF1}" name="DAG" dataDxfId="2369">
      <calculatedColumnFormula>PROPER(TEXT(B10, "dddd"))</calculatedColumnFormula>
    </tableColumn>
    <tableColumn id="2" xr3:uid="{D9D155CA-0383-4893-80D8-B2006B812528}" name="DATUM" dataDxfId="2368">
      <calculatedColumnFormula>Torsdag21</calculatedColumnFormula>
    </tableColumn>
    <tableColumn id="3" xr3:uid="{5BFA7549-553D-4BF4-8609-FB9D3686D3AA}" name="Tid1" dataDxfId="2367"/>
    <tableColumn id="4" xr3:uid="{449B10D9-EDDF-485D-9F2D-0F1535B99C75}" name="TID" dataDxfId="2366"/>
    <tableColumn id="5" xr3:uid="{2E8EABC6-B1AC-42BD-95E5-4DBB5D0AFFC1}" name="ANTAL" dataDxfId="2365"/>
    <tableColumn id="6" xr3:uid="{78810891-BD48-4EBD-B28B-637E8C267F55}" name="GRUPP/LAG/SKOLA/ETC." dataDxfId="2364"/>
  </tableColumns>
  <tableStyleInfo name="Hallbokningsschema 2" showFirstColumn="0" showLastColumn="0" showRowStripes="0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2" xr:uid="{AD3A4403-BF01-4BE6-B14C-242CC65DA7A0}" name="Tabell538455259808794101108115122129143150157164171178185192199206213220227234241248255262269276283" displayName="Tabell538455259808794101108115122129143150157164171178185192199206213220227234241248255262269276283" ref="A12:F14" totalsRowShown="0" headerRowDxfId="2363" dataDxfId="2362">
  <autoFilter ref="A12:F14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3:F14">
    <sortCondition ref="C13:C14"/>
  </sortState>
  <tableColumns count="6">
    <tableColumn id="1" xr3:uid="{73C71872-0ECB-451B-820C-628E39D8FA40}" name="DAG" dataDxfId="2361">
      <calculatedColumnFormula>PROPER(TEXT(B13, "dddd"))</calculatedColumnFormula>
    </tableColumn>
    <tableColumn id="2" xr3:uid="{88326598-A463-490A-B355-3C0F2E6FFA04}" name="DATUM" dataDxfId="2360">
      <calculatedColumnFormula>Fredag21</calculatedColumnFormula>
    </tableColumn>
    <tableColumn id="3" xr3:uid="{69FD4264-1C21-4ABD-91B7-E08E1F745D97}" name="Tid1" dataDxfId="2359"/>
    <tableColumn id="4" xr3:uid="{9EAAF4DE-6BC6-46E7-A953-E108E2F8F305}" name="TID" dataDxfId="2358"/>
    <tableColumn id="5" xr3:uid="{9894091F-1158-404F-A6A7-E801A5C2B03D}" name="ANTAL" dataDxfId="2357"/>
    <tableColumn id="6" xr3:uid="{236FEC58-B988-4744-957C-9366E2158702}" name="GRUPP/LAG/SKOLA/ETC." dataDxfId="2356"/>
  </tableColumns>
  <tableStyleInfo name="Hallbokningsschema 2" showFirstColumn="0" showLastColumn="0" showRowStripes="0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3" xr:uid="{E2EC607E-15F5-4471-90F7-59E56F59FDE4}" name="Tabell639465360818895102109116123130144151158165172179186193200207214221228235242249256263270277284" displayName="Tabell639465360818895102109116123130144151158165172179186193200207214221228235242249256263270277284" ref="A15:F18" totalsRowShown="0" headerRowDxfId="2355" dataDxfId="2354">
  <autoFilter ref="A15:F18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6:F18">
    <sortCondition ref="C16:C18"/>
  </sortState>
  <tableColumns count="6">
    <tableColumn id="1" xr3:uid="{5A06461E-D563-4903-9979-CEFA8D13C9B8}" name="DAG" dataDxfId="2353">
      <calculatedColumnFormula>PROPER(TEXT(B16, "dddd"))</calculatedColumnFormula>
    </tableColumn>
    <tableColumn id="2" xr3:uid="{84F7A985-27F8-4E23-B2AB-F1784CD519AE}" name="DATUM" dataDxfId="2352">
      <calculatedColumnFormula>Lördag21</calculatedColumnFormula>
    </tableColumn>
    <tableColumn id="3" xr3:uid="{59D105E6-30BC-45EE-8F5A-32BB899D1493}" name="Tid1" dataDxfId="2351"/>
    <tableColumn id="4" xr3:uid="{FD294343-5766-4CE2-80BC-E4F2ADE836DD}" name="TID" dataDxfId="2350"/>
    <tableColumn id="5" xr3:uid="{E383BCDC-6A62-40FB-B57D-0316CAD56AD3}" name="ANTAL" dataDxfId="2349"/>
    <tableColumn id="6" xr3:uid="{BD3D1A0C-267A-44E6-AABD-032E6B34E783}" name="GRUPP/LAG/SKOLA/ETC." dataDxfId="2348"/>
  </tableColumns>
  <tableStyleInfo name="Hallbokningsschema 2" showFirstColumn="0" showLastColumn="0" showRowStripes="0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4" xr:uid="{D730AB5F-8DFC-487A-BA76-A3FBD23F3826}" name="Tabell740475461828996103110117124131145152159166173180187194201208215222229236243250257264271278285" displayName="Tabell740475461828996103110117124131145152159166173180187194201208215222229236243250257264271278285" ref="A19:F20" totalsRowShown="0" headerRowDxfId="2347" dataDxfId="2346">
  <autoFilter ref="A19:F20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18E48D9-17E3-4E98-B760-330378CBC9E5}" name="DAG" dataDxfId="2345">
      <calculatedColumnFormula>PROPER(TEXT(B20, "dddd"))</calculatedColumnFormula>
    </tableColumn>
    <tableColumn id="2" xr3:uid="{497D8BBC-1530-4F6E-B9E5-E0306934D1BC}" name="DATUM" dataDxfId="2344">
      <calculatedColumnFormula>Söndag21</calculatedColumnFormula>
    </tableColumn>
    <tableColumn id="3" xr3:uid="{6EDAC3FB-15A3-4329-9878-CD0083C21136}" name="Tid1" dataDxfId="2343"/>
    <tableColumn id="4" xr3:uid="{621AAEEE-E62E-4B0B-820F-D28DE0E33A6D}" name="TID" dataDxfId="2342"/>
    <tableColumn id="5" xr3:uid="{BFE6781C-B189-4C03-B218-77BDF114BDFB}" name="ANTAL" dataDxfId="2341"/>
    <tableColumn id="6" xr3:uid="{84ED7309-8D80-4188-8396-29D4C7F6B0C4}" name="GRUPP/LAG/SKOLA/ETC." dataDxfId="2340"/>
  </tableColumns>
  <tableStyleInfo name="Hallbokningsschema 2" showFirstColumn="0" showLastColumn="0" showRowStripes="0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1" xr:uid="{3973F3AE-117F-4470-AF90-1DF28E3B5B56}" name="Tabell13441485576839097104111118125139146153160167174181188195202209216223230237244251258265272" displayName="Tabell13441485576839097104111118125139146153160167174181188195202209216223230237244251258265272" ref="A2:F4" totalsRowShown="0" headerRowDxfId="2320" dataDxfId="2319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4">
    <sortCondition ref="C3:C4"/>
  </sortState>
  <tableColumns count="6">
    <tableColumn id="1" xr3:uid="{71054001-DD20-4BC1-B187-3AE44DD49612}" name="DAG" dataDxfId="2318">
      <calculatedColumnFormula>PROPER(TEXT(B3, "dddd"))</calculatedColumnFormula>
    </tableColumn>
    <tableColumn id="2" xr3:uid="{C4EA38C9-B34C-4DC1-9143-A405AECCE143}" name="DATUM" dataDxfId="2317">
      <calculatedColumnFormula>Måndag22</calculatedColumnFormula>
    </tableColumn>
    <tableColumn id="3" xr3:uid="{4EE19DB5-9901-4875-BB12-761D2E97C858}" name="Tid1" dataDxfId="2316"/>
    <tableColumn id="4" xr3:uid="{D0EDB234-B4FB-4A67-B59F-53717CA5E648}" name="TID" dataDxfId="2315"/>
    <tableColumn id="5" xr3:uid="{9931FD16-F3EC-4464-BD77-2A14073649FA}" name="ANTAL" dataDxfId="2314"/>
    <tableColumn id="6" xr3:uid="{AE47E3F8-B303-488B-A112-4EAA15340763}" name="GRUPP/LAG/SKOLA/ETC." dataDxfId="2313"/>
  </tableColumns>
  <tableStyleInfo name="Hallbokningsschema 2" showFirstColumn="0" showLastColumn="0" showRowStripes="0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AC239D59-C39E-4913-95BF-E77D57E2DB9C}" name="Tabell23542495677849198105112119126140147154161168175182189196203210217224231238245252259266273" displayName="Tabell23542495677849198105112119126140147154161168175182189196203210217224231238245252259266273" ref="A5:F8" totalsRowShown="0" headerRowDxfId="2312" dataDxfId="2311">
  <autoFilter ref="A5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6:F8">
    <sortCondition ref="C6:C8"/>
  </sortState>
  <tableColumns count="6">
    <tableColumn id="1" xr3:uid="{9D680BD2-50A1-4BD8-A36C-E1F651AA3342}" name="DAG" dataDxfId="2310">
      <calculatedColumnFormula>PROPER(TEXT(B6, "dddd"))</calculatedColumnFormula>
    </tableColumn>
    <tableColumn id="2" xr3:uid="{B0995F31-3408-4EDD-89B8-EFF7080C26F0}" name="DATUM" dataDxfId="2309">
      <calculatedColumnFormula>Tisdag22</calculatedColumnFormula>
    </tableColumn>
    <tableColumn id="3" xr3:uid="{EED44BEB-7046-497F-945E-38A124423BCF}" name="Tid1" dataDxfId="2308"/>
    <tableColumn id="4" xr3:uid="{5FCF6715-9198-4291-83B0-4DA3EC5694A3}" name="TID" dataDxfId="2307"/>
    <tableColumn id="5" xr3:uid="{2CF5AB2D-0B13-4984-A443-6D53A866C3B0}" name="ANTAL" dataDxfId="2306"/>
    <tableColumn id="6" xr3:uid="{8759A193-366F-4FA3-81C3-FB11C05FB4B2}" name="GRUPP/LAG/SKOLA/ETC." dataDxfId="2305"/>
  </tableColumns>
  <tableStyleInfo name="Hallbokningsschema 2" showFirstColumn="0" showLastColumn="0" showRowStripes="0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4D657FBD-0CAF-411B-BF0C-9A5717BAD579}" name="Tabell33643505778859299106113120127141148155162169176183190197204211218225232239246253260267274" displayName="Tabell33643505778859299106113120127141148155162169176183190197204211218225232239246253260267274" ref="A9:F11" totalsRowShown="0" headerRowDxfId="2304" dataDxfId="2303">
  <autoFilter ref="A9:F11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1">
    <sortCondition ref="C10:C11"/>
  </sortState>
  <tableColumns count="6">
    <tableColumn id="1" xr3:uid="{4D47EAE6-C204-415D-9634-8F06FCF1A75A}" name="DAG" dataDxfId="2302">
      <calculatedColumnFormula>PROPER(TEXT(B10, "dddd"))</calculatedColumnFormula>
    </tableColumn>
    <tableColumn id="2" xr3:uid="{3EA8B41C-B070-4D95-B0BA-3524DDAD0B9E}" name="DATUM" dataDxfId="2301">
      <calculatedColumnFormula>Onsdag22</calculatedColumnFormula>
    </tableColumn>
    <tableColumn id="3" xr3:uid="{D7F5427F-CDF2-4566-A0C2-FE2AE47FCD63}" name="Tid1" dataDxfId="2300"/>
    <tableColumn id="4" xr3:uid="{AF7EC254-5F90-45FF-ACC2-6BE8DC7FA260}" name="TID" dataDxfId="2299"/>
    <tableColumn id="5" xr3:uid="{8646FA99-7B9C-4875-9BF3-63647EA26E46}" name="ANTAL" dataDxfId="2298"/>
    <tableColumn id="6" xr3:uid="{E55047D3-FC17-4DE7-831E-990DA24DD7FA}" name="GRUPP/LAG/SKOLA/ETC." dataDxfId="2297"/>
  </tableColumns>
  <tableStyleInfo name="Hallbokningsschema 2" showFirstColumn="0" showLastColumn="0" showRowStripes="0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4" xr:uid="{C59AA91D-BBBA-43F4-AE59-B8208DA26232}" name="Tabell437445158798693100107114121128142149156163170177184191198205212219226233240247254261268275" displayName="Tabell437445158798693100107114121128142149156163170177184191198205212219226233240247254261268275" ref="A12:F13" totalsRowShown="0" headerRowDxfId="2296" dataDxfId="2295">
  <autoFilter ref="A12:F13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FBC3655-B2FC-474F-B841-7E94FEAE450D}" name="DAG" dataDxfId="2294">
      <calculatedColumnFormula>PROPER(TEXT(B13, "dddd"))</calculatedColumnFormula>
    </tableColumn>
    <tableColumn id="2" xr3:uid="{B9CC431E-73B0-4CD1-B1D3-A07AA3ACB6C3}" name="DATUM" dataDxfId="2293">
      <calculatedColumnFormula>Torsdag22</calculatedColumnFormula>
    </tableColumn>
    <tableColumn id="3" xr3:uid="{1F77EF89-665F-407B-BB03-6C05885C8899}" name="Tid1" dataDxfId="2292"/>
    <tableColumn id="4" xr3:uid="{B92F4A88-50AB-4A94-A3EB-9C2A95ACAA66}" name="TID" dataDxfId="2291"/>
    <tableColumn id="5" xr3:uid="{8FF1CD7A-5575-4AA7-A60A-E363E51F6C37}" name="ANTAL" dataDxfId="2290"/>
    <tableColumn id="6" xr3:uid="{D068F3D3-20C2-4129-AA19-EAD6D2A4670A}" name="GRUPP/LAG/SKOLA/ETC." dataDxfId="2289"/>
  </tableColumns>
  <tableStyleInfo name="Hallbokningsschema 2" showFirstColumn="0" showLastColumn="0" showRowStripes="0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5" xr:uid="{154D3CDD-830A-465F-94A7-537767A14F4C}" name="Tabell538455259808794101108115122129143150157164171178185192199206213220227234241248255262269276" displayName="Tabell538455259808794101108115122129143150157164171178185192199206213220227234241248255262269276" ref="A14:F16" totalsRowShown="0" headerRowDxfId="2288" dataDxfId="2287">
  <autoFilter ref="A14:F16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5:F16">
    <sortCondition ref="C15:C16"/>
  </sortState>
  <tableColumns count="6">
    <tableColumn id="1" xr3:uid="{45D31B61-EC77-4715-AAEC-58CF18167FD2}" name="DAG" dataDxfId="2286">
      <calculatedColumnFormula>PROPER(TEXT(B15, "dddd"))</calculatedColumnFormula>
    </tableColumn>
    <tableColumn id="2" xr3:uid="{90C1F02E-ED26-41AC-BB48-C22E4BD1819D}" name="DATUM" dataDxfId="2285">
      <calculatedColumnFormula>Fredag22</calculatedColumnFormula>
    </tableColumn>
    <tableColumn id="3" xr3:uid="{82B6910A-D65B-47CF-83C8-2B1392229894}" name="Tid1" dataDxfId="2284"/>
    <tableColumn id="4" xr3:uid="{1A842CC4-FE4B-4DB8-9CB7-0AE2DB61FF5E}" name="TID" dataDxfId="2283"/>
    <tableColumn id="5" xr3:uid="{3BFAC7EE-4880-4F4D-8DBB-10B7EEFCC935}" name="ANTAL" dataDxfId="2282"/>
    <tableColumn id="6" xr3:uid="{C252CC61-0464-4529-9227-D5D5B0A86ABF}" name="GRUPP/LAG/SKOLA/ETC." dataDxfId="2281"/>
  </tableColumns>
  <tableStyleInfo name="Hallbokningsschema 2" showFirstColumn="0" showLastColumn="0" showRowStripes="0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6" xr:uid="{355FB4D9-7E9D-4D99-AA11-EF4021EEFDFE}" name="Tabell639465360818895102109116123130144151158165172179186193200207214221228235242249256263270277" displayName="Tabell639465360818895102109116123130144151158165172179186193200207214221228235242249256263270277" ref="A17:F18" totalsRowShown="0" headerRowDxfId="2280" dataDxfId="2279">
  <autoFilter ref="A17:F18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782DB1A-0679-4A30-91C0-60558F79966A}" name="DAG" dataDxfId="2278">
      <calculatedColumnFormula>PROPER(TEXT(B18, "dddd"))</calculatedColumnFormula>
    </tableColumn>
    <tableColumn id="2" xr3:uid="{EE5B48FE-911F-4203-8F0C-21E642D4EFAE}" name="DATUM" dataDxfId="2277">
      <calculatedColumnFormula>Lördag22</calculatedColumnFormula>
    </tableColumn>
    <tableColumn id="3" xr3:uid="{88318C46-64B9-4A88-BE59-C5336C35620D}" name="Tid1" dataDxfId="2276"/>
    <tableColumn id="4" xr3:uid="{E4416384-EBBA-4B1C-9752-2D0299CB111D}" name="TID" dataDxfId="2275"/>
    <tableColumn id="5" xr3:uid="{92415C5F-20B6-412C-90EE-8E7A8A93B781}" name="ANTAL" dataDxfId="2274"/>
    <tableColumn id="6" xr3:uid="{771ACCC3-DF1D-4D51-B6A7-5FAC502DAD81}" name="GRUPP/LAG/SKOLA/ETC." dataDxfId="2273"/>
  </tableColumns>
  <tableStyleInfo name="Hallbokningsschema 2" showFirstColumn="0" showLastColumn="0" showRowStripes="0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7" xr:uid="{8CB7140E-6785-4173-BABF-963E84F0FFEF}" name="Tabell740475461828996103110117124131145152159166173180187194201208215222229236243250257264271278" displayName="Tabell740475461828996103110117124131145152159166173180187194201208215222229236243250257264271278" ref="A19:F20" totalsRowShown="0" headerRowDxfId="2272" dataDxfId="2271">
  <autoFilter ref="A19:F20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D71A59F-D95E-4BCE-B2D8-61CB1574E727}" name="DAG" dataDxfId="2270">
      <calculatedColumnFormula>PROPER(TEXT(B20, "dddd"))</calculatedColumnFormula>
    </tableColumn>
    <tableColumn id="2" xr3:uid="{B243309F-74A1-473B-A1E5-D43FACA13044}" name="DATUM" dataDxfId="2269">
      <calculatedColumnFormula>Söndag22</calculatedColumnFormula>
    </tableColumn>
    <tableColumn id="3" xr3:uid="{9D1B41AA-7F0B-4252-851A-902CBD214F25}" name="Tid1" dataDxfId="2268"/>
    <tableColumn id="4" xr3:uid="{BA905079-07D6-4572-8465-319796C9EBA0}" name="TID" dataDxfId="2267"/>
    <tableColumn id="5" xr3:uid="{D5F433BA-07A2-4700-9920-F18DBC413ED2}" name="ANTAL" dataDxfId="2266"/>
    <tableColumn id="6" xr3:uid="{46C0E5D8-CA94-4DB8-BB53-A1ABC5B367CA}" name="GRUPP/LAG/SKOLA/ETC." dataDxfId="2265"/>
  </tableColumns>
  <tableStyleInfo name="Hallbokningsschema 2" showFirstColumn="0" showLastColumn="0" showRowStripes="0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4" xr:uid="{BAD119C6-5C1F-44EB-9445-3C4C5DC8ED91}" name="Tabell13441485576839097104111118125139146153160167174181188195202209216223230237244251258265" displayName="Tabell13441485576839097104111118125139146153160167174181188195202209216223230237244251258265" ref="A2:F3" totalsRowShown="0" headerRowDxfId="2250" dataDxfId="2249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F28B3F9-B2CA-4A5A-A6B5-179A9DC9830B}" name="DAG" dataDxfId="2248">
      <calculatedColumnFormula>PROPER(TEXT(B3, "dddd"))</calculatedColumnFormula>
    </tableColumn>
    <tableColumn id="2" xr3:uid="{9952A995-319D-457B-8723-7644D6C455B5}" name="DATUM" dataDxfId="2247">
      <calculatedColumnFormula>Måndag23</calculatedColumnFormula>
    </tableColumn>
    <tableColumn id="3" xr3:uid="{7629B51B-C082-4181-805B-237E8101B18F}" name="Tid1" dataDxfId="2246"/>
    <tableColumn id="4" xr3:uid="{43817361-958C-46D6-96A0-E8F2350FA63B}" name="TID" dataDxfId="2245"/>
    <tableColumn id="5" xr3:uid="{0D77FD98-2381-48B8-B5C0-CE01D9734D87}" name="ANTAL" dataDxfId="2244"/>
    <tableColumn id="6" xr3:uid="{AA8EA57D-DC1D-45E3-AE33-C5F5053B884F}" name="GRUPP/LAG/SKOLA/ETC." dataDxfId="2243"/>
  </tableColumns>
  <tableStyleInfo name="Hallbokningsschema 2" showFirstColumn="0" showLastColumn="0" showRowStripes="0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5" xr:uid="{D8208346-3207-44F4-ADF1-21BC3F29923C}" name="Tabell23542495677849198105112119126140147154161168175182189196203210217224231238245252259266" displayName="Tabell23542495677849198105112119126140147154161168175182189196203210217224231238245252259266" ref="A4:F6" totalsRowShown="0" headerRowDxfId="2242" dataDxfId="2241">
  <autoFilter ref="A4:F6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EF7AE13-EE0E-461A-AE6C-83803175DE44}" name="DAG" dataDxfId="2240">
      <calculatedColumnFormula>PROPER(TEXT(B5, "dddd"))</calculatedColumnFormula>
    </tableColumn>
    <tableColumn id="2" xr3:uid="{2C79E46A-86D7-4C7B-B060-48E1998C8A46}" name="DATUM" dataDxfId="2239">
      <calculatedColumnFormula>Tisdag23</calculatedColumnFormula>
    </tableColumn>
    <tableColumn id="3" xr3:uid="{CA0AA4E5-9BA4-45F8-B808-A9E5B10F5E91}" name="Tid1" dataDxfId="2238"/>
    <tableColumn id="4" xr3:uid="{2303BFD8-B331-496E-A34E-7F3F7E66DAFD}" name="TID" dataDxfId="2237"/>
    <tableColumn id="5" xr3:uid="{BE68BE90-9886-4800-940A-3007404C97B1}" name="ANTAL" dataDxfId="2236"/>
    <tableColumn id="6" xr3:uid="{19925587-7BA8-4E92-BA2B-3E7DC801279B}" name="GRUPP/LAG/SKOLA/ETC." dataDxfId="2235"/>
  </tableColumns>
  <tableStyleInfo name="Hallbokningsschema 2" showFirstColumn="0" showLastColumn="0" showRowStripes="0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6" xr:uid="{CA663984-1FE9-4CB6-8AD8-EC633D0FCA53}" name="Tabell33643505778859299106113120127141148155162169176183190197204211218225232239246253260267" displayName="Tabell33643505778859299106113120127141148155162169176183190197204211218225232239246253260267" ref="A7:F8" totalsRowShown="0" headerRowDxfId="2234" dataDxfId="2233">
  <autoFilter ref="A7:F8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9BB348D-1104-4555-9A2B-EED0CCD6A724}" name="DAG" dataDxfId="2232">
      <calculatedColumnFormula>PROPER(TEXT(B8, "dddd"))</calculatedColumnFormula>
    </tableColumn>
    <tableColumn id="2" xr3:uid="{1D37F6F0-363B-4BCE-A442-57CC09AFD5CD}" name="DATUM" dataDxfId="2231">
      <calculatedColumnFormula>Onsdag23</calculatedColumnFormula>
    </tableColumn>
    <tableColumn id="3" xr3:uid="{DBACEA9C-453C-4ABB-A193-E5BA4B6F8DC5}" name="Tid1" dataDxfId="2230"/>
    <tableColumn id="4" xr3:uid="{891E67EF-4575-4CD9-96A1-59FE30B8B30D}" name="TID" dataDxfId="2229"/>
    <tableColumn id="5" xr3:uid="{F8E92242-C7E4-4E4E-A517-8624AB940268}" name="ANTAL" dataDxfId="2228"/>
    <tableColumn id="6" xr3:uid="{AB3B81EB-B4DC-40B4-9397-6C1158F076EA}" name="GRUPP/LAG/SKOLA/ETC." dataDxfId="2227"/>
  </tableColumns>
  <tableStyleInfo name="Hallbokningsschema 2" showFirstColumn="0" showLastColumn="0" showRowStripes="0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7" xr:uid="{22963B13-5913-4C43-86CC-2B5C87A6A398}" name="Tabell437445158798693100107114121128142149156163170177184191198205212219226233240247254261268" displayName="Tabell437445158798693100107114121128142149156163170177184191198205212219226233240247254261268" ref="A9:F11" totalsRowShown="0" headerRowDxfId="2226" dataDxfId="2225">
  <autoFilter ref="A9:F11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16103A3-23E8-4DA3-89B5-B20DBA1C83FB}" name="DAG" dataDxfId="2224">
      <calculatedColumnFormula>PROPER(TEXT(B10, "dddd"))</calculatedColumnFormula>
    </tableColumn>
    <tableColumn id="2" xr3:uid="{2592AFE2-6F3D-47FF-9A69-35BE5EEFB669}" name="DATUM" dataDxfId="2223">
      <calculatedColumnFormula>Torsdag23</calculatedColumnFormula>
    </tableColumn>
    <tableColumn id="3" xr3:uid="{976ADDFC-A482-4593-B92B-5BB49051733A}" name="Tid1" dataDxfId="2222"/>
    <tableColumn id="4" xr3:uid="{43AA203A-2BFD-4066-80FA-2121EC759C6D}" name="TID" dataDxfId="2221"/>
    <tableColumn id="5" xr3:uid="{70908314-D380-454E-91A9-969478F26AE7}" name="ANTAL" dataDxfId="2220"/>
    <tableColumn id="6" xr3:uid="{084B742C-0699-4FD6-BD12-6DAAA10536C2}" name="GRUPP/LAG/SKOLA/ETC." dataDxfId="2219"/>
  </tableColumns>
  <tableStyleInfo name="Hallbokningsschema 2" showFirstColumn="0" showLastColumn="0" showRowStripes="0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8" xr:uid="{77DE6646-6F0D-48B0-ABDE-D82BE94F501B}" name="Tabell538455259808794101108115122129143150157164171178185192199206213220227234241248255262269" displayName="Tabell538455259808794101108115122129143150157164171178185192199206213220227234241248255262269" ref="A12:F13" totalsRowShown="0" headerRowDxfId="2218" dataDxfId="2217">
  <autoFilter ref="A12:F13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4B6A288-C039-454D-B327-D1B9B3170E65}" name="DAG" dataDxfId="2216">
      <calculatedColumnFormula>PROPER(TEXT(B13, "dddd"))</calculatedColumnFormula>
    </tableColumn>
    <tableColumn id="2" xr3:uid="{9CC064F6-F4C9-4394-801D-A6549FBE90AC}" name="DATUM" dataDxfId="2215">
      <calculatedColumnFormula>Fredag23</calculatedColumnFormula>
    </tableColumn>
    <tableColumn id="3" xr3:uid="{EC36FAF7-64E8-49C8-BCDF-7C0258B7AD70}" name="Tid1" dataDxfId="2214"/>
    <tableColumn id="4" xr3:uid="{41301754-9EB4-4F26-8D16-9D36560B7494}" name="TID" dataDxfId="2213"/>
    <tableColumn id="5" xr3:uid="{8CDFADF6-DB4F-497F-BC5B-67990C015235}" name="ANTAL" dataDxfId="2212"/>
    <tableColumn id="6" xr3:uid="{10AC5E6C-EB2D-47CC-9D69-38DCDA6BAE9B}" name="GRUPP/LAG/SKOLA/ETC." dataDxfId="2211"/>
  </tableColumns>
  <tableStyleInfo name="Hallbokningsschema 2" showFirstColumn="0" showLastColumn="0" showRowStripes="0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9" xr:uid="{0F619EF2-59A9-457A-B9B2-016DCEE86AF3}" name="Tabell639465360818895102109116123130144151158165172179186193200207214221228235242249256263270" displayName="Tabell639465360818895102109116123130144151158165172179186193200207214221228235242249256263270" ref="A14:F15" totalsRowShown="0" headerRowDxfId="2210" dataDxfId="2209">
  <autoFilter ref="A14:F15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703AB08-41BF-4C37-A430-73D65B3C3005}" name="DAG" dataDxfId="2208">
      <calculatedColumnFormula>PROPER(TEXT(B15, "dddd"))</calculatedColumnFormula>
    </tableColumn>
    <tableColumn id="2" xr3:uid="{B416E3F1-D95C-44D9-BE42-534F1A15A2D6}" name="DATUM" dataDxfId="2207">
      <calculatedColumnFormula>Lördag23</calculatedColumnFormula>
    </tableColumn>
    <tableColumn id="3" xr3:uid="{1F17D31F-AE22-4CC7-A45B-12A19941149A}" name="Tid1" dataDxfId="2206"/>
    <tableColumn id="4" xr3:uid="{E649A7F7-AA93-465B-B758-F1591C9830E0}" name="TID" dataDxfId="2205"/>
    <tableColumn id="5" xr3:uid="{2C7E9FA7-E3EC-408A-8939-71FAC56B6519}" name="ANTAL" dataDxfId="2204"/>
    <tableColumn id="6" xr3:uid="{4249F1FF-EDCF-49C1-8BA2-4B6A46297B35}" name="GRUPP/LAG/SKOLA/ETC." dataDxfId="2203"/>
  </tableColumns>
  <tableStyleInfo name="Hallbokningsschema 2" showFirstColumn="0" showLastColumn="0" showRowStripes="0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013559F4-A2D0-4CBE-A629-055400F9849F}" name="Tabell740475461828996103110117124131145152159166173180187194201208215222229236243250257264271" displayName="Tabell740475461828996103110117124131145152159166173180187194201208215222229236243250257264271" ref="A16:F17" totalsRowShown="0" headerRowDxfId="2202" dataDxfId="2201">
  <autoFilter ref="A16:F1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C36DD76-94D0-4A68-BE94-1E71DDB71137}" name="DAG" dataDxfId="2200">
      <calculatedColumnFormula>PROPER(TEXT(B17, "dddd"))</calculatedColumnFormula>
    </tableColumn>
    <tableColumn id="2" xr3:uid="{C8B6072B-484A-48F2-9033-A1FBABE0F827}" name="DATUM" dataDxfId="2199">
      <calculatedColumnFormula>Söndag23</calculatedColumnFormula>
    </tableColumn>
    <tableColumn id="3" xr3:uid="{816407D6-B166-43CE-8D19-11E2D0EAE982}" name="Tid1" dataDxfId="2198"/>
    <tableColumn id="4" xr3:uid="{D4550595-0E25-4A8C-A8EA-957A18070A96}" name="TID" dataDxfId="2197"/>
    <tableColumn id="5" xr3:uid="{F0900AA2-AA93-43F1-AA9F-6B6AD43D67C2}" name="ANTAL" dataDxfId="2196"/>
    <tableColumn id="6" xr3:uid="{A20C7841-6AD3-405D-B132-DCCEBB08CD7C}" name="GRUPP/LAG/SKOLA/ETC." dataDxfId="2195"/>
  </tableColumns>
  <tableStyleInfo name="Hallbokningsschema 2" showFirstColumn="0" showLastColumn="0" showRowStripes="0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7" xr:uid="{8FA8FD48-90E3-4C02-947A-E9A983808872}" name="Tabell13441485576839097104111118125139146153160167174181188195202209216223230237244251258" displayName="Tabell13441485576839097104111118125139146153160167174181188195202209216223230237244251258" ref="A2:F3" totalsRowShown="0" headerRowDxfId="2173" dataDxfId="2172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AF57830-95BE-4381-B480-5B35E7BEF7B2}" name="DAG" dataDxfId="2171">
      <calculatedColumnFormula>PROPER(TEXT(B3, "dddd"))</calculatedColumnFormula>
    </tableColumn>
    <tableColumn id="2" xr3:uid="{7B834DC3-E495-4D13-901F-E0EB3C4D9929}" name="DATUM" dataDxfId="2170">
      <calculatedColumnFormula>Måndag24</calculatedColumnFormula>
    </tableColumn>
    <tableColumn id="3" xr3:uid="{BF39D422-756F-4F21-ABBD-24C477B7AC8A}" name="Tid1" dataDxfId="2169"/>
    <tableColumn id="4" xr3:uid="{53FE26C0-BCF1-473E-AFC5-5A21512784D3}" name="TID" dataDxfId="2168"/>
    <tableColumn id="5" xr3:uid="{B77E3F7A-D1F7-4F9B-BF63-CF25DA6BCBD8}" name="ANTAL" dataDxfId="2167"/>
    <tableColumn id="6" xr3:uid="{D3774DA4-3CEC-41E3-8978-C6BD783B05A6}" name="GRUPP/LAG/SKOLA/ETC." dataDxfId="2166"/>
  </tableColumns>
  <tableStyleInfo name="Hallbokningsschema 2" showFirstColumn="0" showLastColumn="0" showRowStripes="0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8" xr:uid="{0D74332F-166B-49F7-952E-B7AE57C4AEAD}" name="Tabell23542495677849198105112119126140147154161168175182189196203210217224231238245252259" displayName="Tabell23542495677849198105112119126140147154161168175182189196203210217224231238245252259" ref="A4:F6" totalsRowShown="0" headerRowDxfId="2165" dataDxfId="2164">
  <autoFilter ref="A4:F6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7940A7B-112D-411C-8472-DE4440047F0C}" name="DAG" dataDxfId="2163">
      <calculatedColumnFormula>PROPER(TEXT(B5, "dddd"))</calculatedColumnFormula>
    </tableColumn>
    <tableColumn id="2" xr3:uid="{089D7CAA-655A-407E-942B-F874C1AAF61D}" name="DATUM" dataDxfId="2162">
      <calculatedColumnFormula>Tisdag24</calculatedColumnFormula>
    </tableColumn>
    <tableColumn id="3" xr3:uid="{0F3D054E-6DFE-41AC-8D86-DD589B3A1314}" name="Tid1" dataDxfId="2161"/>
    <tableColumn id="4" xr3:uid="{DDE7A7DE-7E69-4605-B2F3-8407A35127AB}" name="TID" dataDxfId="2160"/>
    <tableColumn id="5" xr3:uid="{615745A5-125D-4F03-BAE3-3512DB49C859}" name="ANTAL" dataDxfId="2159"/>
    <tableColumn id="6" xr3:uid="{96D56C4F-2F0A-48C0-895E-E73C6750B50F}" name="GRUPP/LAG/SKOLA/ETC." dataDxfId="2158"/>
  </tableColumns>
  <tableStyleInfo name="Hallbokningsschema 2" showFirstColumn="0" showLastColumn="0" showRowStripes="0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9" xr:uid="{AC6C1E9B-943E-4B7E-936D-59B84DCCE94B}" name="Tabell33643505778859299106113120127141148155162169176183190197204211218225232239246253260" displayName="Tabell33643505778859299106113120127141148155162169176183190197204211218225232239246253260" ref="A7:F8" totalsRowShown="0" headerRowDxfId="2157" dataDxfId="2156">
  <autoFilter ref="A7:F8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ADA91A3-6D0C-4D33-ACCE-52794CD70661}" name="DAG" dataDxfId="2155">
      <calculatedColumnFormula>PROPER(TEXT(B8, "dddd"))</calculatedColumnFormula>
    </tableColumn>
    <tableColumn id="2" xr3:uid="{53268802-CA12-4822-AFFB-BFE7ED6B711B}" name="DATUM" dataDxfId="2154">
      <calculatedColumnFormula>Onsdag24</calculatedColumnFormula>
    </tableColumn>
    <tableColumn id="3" xr3:uid="{F2010546-10BE-481E-8027-4313EA043A25}" name="Tid1" dataDxfId="2153"/>
    <tableColumn id="4" xr3:uid="{A44A4B81-AEC0-4DF7-B1FE-513C32B146CE}" name="TID" dataDxfId="2152"/>
    <tableColumn id="5" xr3:uid="{6B6EBEED-9ADA-4DEE-91CC-96666DC9E67F}" name="ANTAL" dataDxfId="2151"/>
    <tableColumn id="6" xr3:uid="{00866AC3-C0D5-41C7-9CE2-509CAA6A7833}" name="GRUPP/LAG/SKOLA/ETC." dataDxfId="2150"/>
  </tableColumns>
  <tableStyleInfo name="Hallbokningsschema 2" showFirstColumn="0" showLastColumn="0" showRowStripes="0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0" xr:uid="{035A1051-1C3B-497D-960D-306DB5E76922}" name="Tabell437445158798693100107114121128142149156163170177184191198205212219226233240247254261" displayName="Tabell437445158798693100107114121128142149156163170177184191198205212219226233240247254261" ref="A9:F10" totalsRowShown="0" headerRowDxfId="2149" dataDxfId="2148">
  <autoFilter ref="A9:F10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FCE43BC-5E4F-44F3-9DBC-4AC388012700}" name="DAG" dataDxfId="2147">
      <calculatedColumnFormula>PROPER(TEXT(B10, "dddd"))</calculatedColumnFormula>
    </tableColumn>
    <tableColumn id="2" xr3:uid="{22926018-FE1B-4051-A835-B0EEFDF46E05}" name="DATUM" dataDxfId="2146">
      <calculatedColumnFormula>Torsdag24</calculatedColumnFormula>
    </tableColumn>
    <tableColumn id="3" xr3:uid="{588F4C25-40C5-4AE1-BD04-CBE7CC339AE3}" name="Tid1" dataDxfId="2145"/>
    <tableColumn id="4" xr3:uid="{14B2F972-36E9-4A1D-9771-4742379982AC}" name="TID" dataDxfId="2144"/>
    <tableColumn id="5" xr3:uid="{1A1DD72B-F75D-482F-9C99-591310B5A3C2}" name="ANTAL" dataDxfId="2143"/>
    <tableColumn id="6" xr3:uid="{B6C5544F-50C4-4946-93DC-6C88B4446F23}" name="GRUPP/LAG/SKOLA/ETC." dataDxfId="2142"/>
  </tableColumns>
  <tableStyleInfo name="Hallbokningsschema 2" showFirstColumn="0" showLastColumn="0" showRowStripes="0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1" xr:uid="{63B1CCC7-1C85-481C-A687-B800849DA701}" name="Tabell538455259808794101108115122129143150157164171178185192199206213220227234241248255262" displayName="Tabell538455259808794101108115122129143150157164171178185192199206213220227234241248255262" ref="A11:F13" totalsRowShown="0" headerRowDxfId="2141" dataDxfId="2140">
  <autoFilter ref="A11:F13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9E8B8C9-2770-4FC7-AB2A-E46FD1EC858F}" name="DAG" dataDxfId="2139">
      <calculatedColumnFormula>PROPER(TEXT(B12, "dddd"))</calculatedColumnFormula>
    </tableColumn>
    <tableColumn id="2" xr3:uid="{84B83455-095F-459F-A641-565770A61F4F}" name="DATUM" dataDxfId="2138">
      <calculatedColumnFormula>Fredag24</calculatedColumnFormula>
    </tableColumn>
    <tableColumn id="3" xr3:uid="{9A4B2B47-BA26-41C2-AF33-4A206CADE95A}" name="Tid1" dataDxfId="2137"/>
    <tableColumn id="4" xr3:uid="{16A9483B-739D-4178-9DA8-E2A6DF8D9543}" name="TID" dataDxfId="2136"/>
    <tableColumn id="5" xr3:uid="{16F97FDB-F5BE-45E1-AACF-3EA381EB76AD}" name="ANTAL" dataDxfId="2135"/>
    <tableColumn id="6" xr3:uid="{7FDA8491-EC5D-44F8-96ED-1AF34418B62B}" name="GRUPP/LAG/SKOLA/ETC." dataDxfId="2134"/>
  </tableColumns>
  <tableStyleInfo name="Hallbokningsschema 2" showFirstColumn="0" showLastColumn="0" showRowStripes="0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2" xr:uid="{36A26529-137E-4669-B779-B72C81472C7D}" name="Tabell639465360818895102109116123130144151158165172179186193200207214221228235242249256263" displayName="Tabell639465360818895102109116123130144151158165172179186193200207214221228235242249256263" ref="A14:F15" totalsRowShown="0" headerRowDxfId="2133" dataDxfId="2132">
  <autoFilter ref="A14:F15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6B13244-4244-4FE5-A8E8-9A41581773F3}" name="DAG" dataDxfId="2131">
      <calculatedColumnFormula>PROPER(TEXT(B15, "dddd"))</calculatedColumnFormula>
    </tableColumn>
    <tableColumn id="2" xr3:uid="{C59431DF-EB77-4DAB-B9D9-756B47DDC7B3}" name="DATUM" dataDxfId="2130">
      <calculatedColumnFormula>Lördag24</calculatedColumnFormula>
    </tableColumn>
    <tableColumn id="3" xr3:uid="{D4ADAC0A-7D7C-4FA8-A9F2-FA91FDF9AEE1}" name="Tid1" dataDxfId="2129"/>
    <tableColumn id="4" xr3:uid="{A3F2D753-0AE6-48E8-BB5D-F2F505E47932}" name="TID" dataDxfId="2128"/>
    <tableColumn id="5" xr3:uid="{5C8DD1E3-0F56-4E8E-B38B-63151CD40973}" name="ANTAL" dataDxfId="2127"/>
    <tableColumn id="6" xr3:uid="{0D2C5611-56C8-4249-B9CA-F6601AA38A6F}" name="GRUPP/LAG/SKOLA/ETC." dataDxfId="2126"/>
  </tableColumns>
  <tableStyleInfo name="Hallbokningsschema 2" showFirstColumn="0" showLastColumn="0" showRowStripes="0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3" xr:uid="{AF9599FF-75E3-4F60-A7B8-0C0ED7374FF3}" name="Tabell740475461828996103110117124131145152159166173180187194201208215222229236243250257264" displayName="Tabell740475461828996103110117124131145152159166173180187194201208215222229236243250257264" ref="A16:F17" totalsRowShown="0" headerRowDxfId="2125" dataDxfId="2124">
  <autoFilter ref="A16:F1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EA57FD6-0D51-4F3C-B862-183885CDD90A}" name="DAG" dataDxfId="2123">
      <calculatedColumnFormula>PROPER(TEXT(B17, "dddd"))</calculatedColumnFormula>
    </tableColumn>
    <tableColumn id="2" xr3:uid="{39DD3FDE-FBEE-48A7-B898-A5DC049E59AB}" name="DATUM" dataDxfId="2122">
      <calculatedColumnFormula>Söndag24</calculatedColumnFormula>
    </tableColumn>
    <tableColumn id="3" xr3:uid="{43CD6792-3D85-42F5-B7F3-86540EBF2996}" name="Tid1" dataDxfId="2121"/>
    <tableColumn id="4" xr3:uid="{AE606CF8-0132-43D0-84B4-E3EAC45720E9}" name="TID" dataDxfId="2120"/>
    <tableColumn id="5" xr3:uid="{86FD9DC2-22F0-4B39-AA2B-3DBED022032E}" name="ANTAL" dataDxfId="2119"/>
    <tableColumn id="6" xr3:uid="{636B4641-90D0-446A-A871-E3F0175EB7D2}" name="GRUPP/LAG/SKOLA/ETC." dataDxfId="2118"/>
  </tableColumns>
  <tableStyleInfo name="Hallbokningsschema 2" showFirstColumn="0" showLastColumn="0" showRowStripes="0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404D55DF-4272-4747-990F-453B8FDBB09E}" name="Tabell13441485576839097104111118125139146153160167174181188195202209216223230237244251" displayName="Tabell13441485576839097104111118125139146153160167174181188195202209216223230237244251" ref="A2:F3" totalsRowShown="0" headerRowDxfId="2103" dataDxfId="2102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9BAD5DE-7550-4EDF-99B9-EFD338642E96}" name="DAG" dataDxfId="2101">
      <calculatedColumnFormula>PROPER(TEXT(B3, "dddd"))</calculatedColumnFormula>
    </tableColumn>
    <tableColumn id="2" xr3:uid="{3FD5D029-02B1-4C16-9616-5C540E5AB99F}" name="DATUM" dataDxfId="2100">
      <calculatedColumnFormula>Måndag25</calculatedColumnFormula>
    </tableColumn>
    <tableColumn id="3" xr3:uid="{793246A4-C609-4417-A70F-9226A53591DD}" name="Tid1" dataDxfId="2099"/>
    <tableColumn id="4" xr3:uid="{56810DF2-1C86-484C-85F5-C658D41F8406}" name="TID" dataDxfId="2098"/>
    <tableColumn id="5" xr3:uid="{48FFAC06-AFC9-4BA1-88AE-53ED97268D22}" name="ANTAL" dataDxfId="2097"/>
    <tableColumn id="6" xr3:uid="{DD247142-8203-4293-944C-EA0FD9BDDC8F}" name="GRUPP/LAG/SKOLA/ETC." dataDxfId="2096"/>
  </tableColumns>
  <tableStyleInfo name="Hallbokningsschema 2" showFirstColumn="0" showLastColumn="0" showRowStripes="0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4E596ADC-9478-4F97-BB83-4EBE470937ED}" name="Tabell23542495677849198105112119126140147154161168175182189196203210217224231238245252" displayName="Tabell23542495677849198105112119126140147154161168175182189196203210217224231238245252" ref="A4:F5" totalsRowShown="0" headerRowDxfId="2095" dataDxfId="2094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7B4EC44-7924-4652-8874-EAC5D93A9097}" name="DAG" dataDxfId="2093">
      <calculatedColumnFormula>PROPER(TEXT(B5, "dddd"))</calculatedColumnFormula>
    </tableColumn>
    <tableColumn id="2" xr3:uid="{6BB1CAA2-E060-457B-A19B-7E34BBD55B7D}" name="DATUM" dataDxfId="2092">
      <calculatedColumnFormula>Tisdag25</calculatedColumnFormula>
    </tableColumn>
    <tableColumn id="3" xr3:uid="{74C9124D-5D47-4AE3-982E-0E5169AB83B2}" name="Tid1" dataDxfId="2091"/>
    <tableColumn id="4" xr3:uid="{55EDDDA2-EAD9-4F58-B6C6-942A29A2FED6}" name="TID" dataDxfId="2090"/>
    <tableColumn id="5" xr3:uid="{0DE55E0A-EC24-4620-8F15-FBDDDFA5F1EE}" name="ANTAL" dataDxfId="2089"/>
    <tableColumn id="6" xr3:uid="{6A3183A7-688F-4649-B9DF-2B12195021DD}" name="GRUPP/LAG/SKOLA/ETC." dataDxfId="2088"/>
  </tableColumns>
  <tableStyleInfo name="Hallbokningsschema 2" showFirstColumn="0" showLastColumn="0" showRowStripes="0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8AB5015D-DC3D-49FB-ABF1-1AECAC4D06A6}" name="Tabell33643505778859299106113120127141148155162169176183190197204211218225232239246253" displayName="Tabell33643505778859299106113120127141148155162169176183190197204211218225232239246253" ref="A6:F7" totalsRowShown="0" headerRowDxfId="2087" dataDxfId="2086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D369B4C-C02A-464A-94F3-135AAF733C21}" name="DAG" dataDxfId="2085">
      <calculatedColumnFormula>PROPER(TEXT(B7, "dddd"))</calculatedColumnFormula>
    </tableColumn>
    <tableColumn id="2" xr3:uid="{62AF4A45-4B46-468C-AF53-C26CDCE7EBA2}" name="DATUM" dataDxfId="2084">
      <calculatedColumnFormula>Onsdag25</calculatedColumnFormula>
    </tableColumn>
    <tableColumn id="3" xr3:uid="{08B842BA-08D3-4EF3-999A-E3CA0ED5DF3D}" name="Tid1" dataDxfId="2083"/>
    <tableColumn id="4" xr3:uid="{23FB5EF8-EC03-49AA-AF17-F69F467F8C6C}" name="TID" dataDxfId="2082"/>
    <tableColumn id="5" xr3:uid="{F1BAF2E0-E84D-4B4D-9628-B4A2B691EC9A}" name="ANTAL" dataDxfId="2081"/>
    <tableColumn id="6" xr3:uid="{583E6962-F2DE-4C16-AB8C-7CFC844E899E}" name="GRUPP/LAG/SKOLA/ETC." dataDxfId="2080"/>
  </tableColumns>
  <tableStyleInfo name="Hallbokningsschema 2" showFirstColumn="0" showLastColumn="0" showRowStripes="0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A752356A-A198-42BB-8724-8B41BEA42076}" name="Tabell437445158798693100107114121128142149156163170177184191198205212219226233240247254" displayName="Tabell437445158798693100107114121128142149156163170177184191198205212219226233240247254" ref="A8:F9" totalsRowShown="0" headerRowDxfId="2079" dataDxfId="2078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A30B873-CAD4-45CD-B13A-D829125FB9AF}" name="DAG" dataDxfId="2077">
      <calculatedColumnFormula>PROPER(TEXT(B9, "dddd"))</calculatedColumnFormula>
    </tableColumn>
    <tableColumn id="2" xr3:uid="{72E2EFE9-DFB7-4AC0-AD60-0D76145EFC23}" name="DATUM" dataDxfId="2076">
      <calculatedColumnFormula>Torsdag25</calculatedColumnFormula>
    </tableColumn>
    <tableColumn id="3" xr3:uid="{C1892457-9795-4566-AE4C-9B4938B9CD0B}" name="Tid1" dataDxfId="2075"/>
    <tableColumn id="4" xr3:uid="{64AFDFE6-8E40-4E1E-83ED-7C0AB10F3BC7}" name="TID" dataDxfId="2074"/>
    <tableColumn id="5" xr3:uid="{6C606F80-BD09-44F5-AB0A-9D6579B4C6A1}" name="ANTAL" dataDxfId="2073"/>
    <tableColumn id="6" xr3:uid="{918E27FB-A3CD-4991-B351-FA5B21B08147}" name="GRUPP/LAG/SKOLA/ETC." dataDxfId="2072"/>
  </tableColumns>
  <tableStyleInfo name="Hallbokningsschema 2" showFirstColumn="0" showLastColumn="0" showRowStripes="0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93310727-AF4A-47C8-B737-95A331E95258}" name="Tabell538455259808794101108115122129143150157164171178185192199206213220227234241248255" displayName="Tabell538455259808794101108115122129143150157164171178185192199206213220227234241248255" ref="A10:F11" totalsRowShown="0" headerRowDxfId="2071" dataDxfId="2070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7BFD6E1-6E7F-4718-9702-EFAD6CF969EA}" name="DAG" dataDxfId="2069">
      <calculatedColumnFormula>PROPER(TEXT(B11, "dddd"))</calculatedColumnFormula>
    </tableColumn>
    <tableColumn id="2" xr3:uid="{C8E5A5F3-8446-4089-B8AE-340555178709}" name="DATUM" dataDxfId="2068">
      <calculatedColumnFormula>Fredag25</calculatedColumnFormula>
    </tableColumn>
    <tableColumn id="3" xr3:uid="{1773E631-2F98-4011-845D-D1FB85AC38CD}" name="Tid1" dataDxfId="2067"/>
    <tableColumn id="4" xr3:uid="{709F6DA3-41F2-4A2B-925A-B628DA990A0F}" name="TID" dataDxfId="2066"/>
    <tableColumn id="5" xr3:uid="{1D1B9E45-B9F5-4715-B4EB-7D741A148014}" name="ANTAL" dataDxfId="2065"/>
    <tableColumn id="6" xr3:uid="{E4A60F45-7098-4FEB-8D64-AF9640297134}" name="GRUPP/LAG/SKOLA/ETC." dataDxfId="2064"/>
  </tableColumns>
  <tableStyleInfo name="Hallbokningsschema 2" showFirstColumn="0" showLastColumn="0" showRowStripes="0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C0A2F16F-17DF-4006-8A00-3D9FE614D8CF}" name="Tabell639465360818895102109116123130144151158165172179186193200207214221228235242249256" displayName="Tabell639465360818895102109116123130144151158165172179186193200207214221228235242249256" ref="A12:F13" totalsRowShown="0" headerRowDxfId="2063" dataDxfId="2062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F295408-8886-4B02-B288-E162FF862C19}" name="DAG" dataDxfId="2061">
      <calculatedColumnFormula>PROPER(TEXT(B13, "dddd"))</calculatedColumnFormula>
    </tableColumn>
    <tableColumn id="2" xr3:uid="{0A2A3DC3-C8F5-4ADB-988B-370C83EA04A4}" name="DATUM" dataDxfId="2060">
      <calculatedColumnFormula>Lördag25</calculatedColumnFormula>
    </tableColumn>
    <tableColumn id="3" xr3:uid="{B459AAEA-6936-4015-A01D-772B0E133C30}" name="Tid1" dataDxfId="2059"/>
    <tableColumn id="4" xr3:uid="{00B58382-12F3-46FF-A790-F5AFEF09ED85}" name="TID" dataDxfId="2058"/>
    <tableColumn id="5" xr3:uid="{1940C130-5F70-4E76-840C-59CBEE029EE6}" name="ANTAL" dataDxfId="2057"/>
    <tableColumn id="6" xr3:uid="{D0C1B3E6-1BFB-4A50-BD9C-3DC880F75366}" name="GRUPP/LAG/SKOLA/ETC." dataDxfId="2056"/>
  </tableColumns>
  <tableStyleInfo name="Hallbokningsschema 2" showFirstColumn="0" showLastColumn="0" showRowStripes="0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6" xr:uid="{D68DAE15-BDAE-4F03-A50E-8CDBD11254EB}" name="Tabell740475461828996103110117124131145152159166173180187194201208215222229236243250257" displayName="Tabell740475461828996103110117124131145152159166173180187194201208215222229236243250257" ref="A14:F15" totalsRowShown="0" headerRowDxfId="2055" dataDxfId="2054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7278E5C-F966-4871-97A5-0A97EDFC9D17}" name="DAG" dataDxfId="2053">
      <calculatedColumnFormula>PROPER(TEXT(B15, "dddd"))</calculatedColumnFormula>
    </tableColumn>
    <tableColumn id="2" xr3:uid="{FC8ABB2C-83AC-4835-811A-D6D4EFEB1981}" name="DATUM" dataDxfId="2052">
      <calculatedColumnFormula>Söndag25</calculatedColumnFormula>
    </tableColumn>
    <tableColumn id="3" xr3:uid="{53BCE0B4-5ABF-4CA9-9048-45B7C55B09FD}" name="Tid1" dataDxfId="2051"/>
    <tableColumn id="4" xr3:uid="{8E9A331C-A598-4E34-ABDD-1F37D4CA39C5}" name="TID" dataDxfId="2050"/>
    <tableColumn id="5" xr3:uid="{5B63AD68-75BC-4951-B666-02B3F4C1F810}" name="ANTAL" dataDxfId="2049"/>
    <tableColumn id="6" xr3:uid="{39F12A56-FF44-45A0-9AA0-25CCA665DA65}" name="GRUPP/LAG/SKOLA/ETC." dataDxfId="2048"/>
  </tableColumns>
  <tableStyleInfo name="Hallbokningsschema 2" showFirstColumn="0" showLastColumn="0" showRowStripes="0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C13BCEB5-42C7-4613-87B3-7917772B8443}" name="Tabell13441485576839097104111118125139146153160167174181188195202209216223230237244" displayName="Tabell13441485576839097104111118125139146153160167174181188195202209216223230237244" ref="A2:F3" totalsRowShown="0" headerRowDxfId="2027" dataDxfId="2026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90A4BD4-8191-4264-B6F7-7A655E3A8A8C}" name="DAG" dataDxfId="2025">
      <calculatedColumnFormula>PROPER(TEXT(B3, "dddd"))</calculatedColumnFormula>
    </tableColumn>
    <tableColumn id="2" xr3:uid="{4295A330-B535-49B8-91A0-28248CF79BBA}" name="DATUM" dataDxfId="2024">
      <calculatedColumnFormula>Måndag27</calculatedColumnFormula>
    </tableColumn>
    <tableColumn id="3" xr3:uid="{9639CF0E-0B86-4ED6-A4DE-CB6247EF0231}" name="Tid1" dataDxfId="2023"/>
    <tableColumn id="4" xr3:uid="{0422468C-D0AB-47E6-8B6B-0DB86E91AA17}" name="TID" dataDxfId="2022"/>
    <tableColumn id="5" xr3:uid="{81460E4D-F2C6-4EF7-AAD2-C0EF7A9E6614}" name="ANTAL" dataDxfId="2021"/>
    <tableColumn id="6" xr3:uid="{DC892010-5601-4AA4-8704-9027E1C938AF}" name="GRUPP/LAG/SKOLA/ETC." dataDxfId="2020"/>
  </tableColumns>
  <tableStyleInfo name="Hallbokningsschema 2" showFirstColumn="0" showLastColumn="0" showRowStripes="0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B18DFA56-6BA7-44D0-9B42-D0DE5A390EC9}" name="Tabell23542495677849198105112119126140147154161168175182189196203210217224231238245" displayName="Tabell23542495677849198105112119126140147154161168175182189196203210217224231238245" ref="A4:F5" totalsRowShown="0" headerRowDxfId="2019" dataDxfId="2018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E4E3B08-3D71-4E53-A44E-5691DDB514C3}" name="DAG" dataDxfId="2017">
      <calculatedColumnFormula>PROPER(TEXT(B5, "dddd"))</calculatedColumnFormula>
    </tableColumn>
    <tableColumn id="2" xr3:uid="{12A586E2-ECFB-4689-AFE4-21F65B105D1F}" name="DATUM" dataDxfId="2016">
      <calculatedColumnFormula>Tisdag27</calculatedColumnFormula>
    </tableColumn>
    <tableColumn id="3" xr3:uid="{3CAF06A0-E2FD-488F-8FC7-37BE142866DD}" name="Tid1" dataDxfId="2015"/>
    <tableColumn id="4" xr3:uid="{1FF8BF1F-73BC-4D0F-9CB1-0D6BB8D86392}" name="TID" dataDxfId="2014"/>
    <tableColumn id="5" xr3:uid="{00752D8E-CE5F-44C9-845D-D805886286BF}" name="ANTAL" dataDxfId="2013"/>
    <tableColumn id="6" xr3:uid="{CC7F7906-6BD5-42CE-A847-7C4FC524C0FF}" name="GRUPP/LAG/SKOLA/ETC." dataDxfId="2012"/>
  </tableColumns>
  <tableStyleInfo name="Hallbokningsschema 2" showFirstColumn="0" showLastColumn="0" showRowStripes="0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791B099C-2407-4463-AB70-D92266CE414F}" name="Tabell33643505778859299106113120127141148155162169176183190197204211218225232239246" displayName="Tabell33643505778859299106113120127141148155162169176183190197204211218225232239246" ref="A6:F7" totalsRowShown="0" headerRowDxfId="2011" dataDxfId="2010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7B90613-F0E6-43F9-B816-2A7EB95C601F}" name="DAG" dataDxfId="2009">
      <calculatedColumnFormula>PROPER(TEXT(B7, "dddd"))</calculatedColumnFormula>
    </tableColumn>
    <tableColumn id="2" xr3:uid="{97C3FC3E-46B6-4FA9-A2EC-053B9C10512F}" name="DATUM" dataDxfId="2008">
      <calculatedColumnFormula>Onsdag27</calculatedColumnFormula>
    </tableColumn>
    <tableColumn id="3" xr3:uid="{9D9608E3-85BB-4512-B1C7-9CAC394665AE}" name="Tid1" dataDxfId="2007"/>
    <tableColumn id="4" xr3:uid="{A4AEFD52-EC4D-4FD8-AE8F-12B6C67AFD43}" name="TID" dataDxfId="2006"/>
    <tableColumn id="5" xr3:uid="{1712472D-64B9-419C-8DD8-37732DAAB03E}" name="ANTAL" dataDxfId="2005"/>
    <tableColumn id="6" xr3:uid="{AE099C6B-28B0-45B3-AAA6-72282D9F79C3}" name="GRUPP/LAG/SKOLA/ETC." dataDxfId="2004"/>
  </tableColumns>
  <tableStyleInfo name="Hallbokningsschema 2" showFirstColumn="0" showLastColumn="0" showRowStripes="0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7FBE05CA-55BF-468C-A224-A3AC8C6F8FE0}" name="Tabell437445158798693100107114121128142149156163170177184191198205212219226233240247" displayName="Tabell437445158798693100107114121128142149156163170177184191198205212219226233240247" ref="A8:F9" totalsRowShown="0" headerRowDxfId="2003" dataDxfId="2002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1DDC7E0-1ABA-4BEA-9090-01747B61A73D}" name="DAG" dataDxfId="2001">
      <calculatedColumnFormula>PROPER(TEXT(B9, "dddd"))</calculatedColumnFormula>
    </tableColumn>
    <tableColumn id="2" xr3:uid="{CF93991B-B06E-4BCC-BE45-125B72436C68}" name="DATUM" dataDxfId="2000">
      <calculatedColumnFormula>Torsdag27</calculatedColumnFormula>
    </tableColumn>
    <tableColumn id="3" xr3:uid="{EA099414-C904-4BF8-A164-A7B20A182BAC}" name="Tid1" dataDxfId="1999"/>
    <tableColumn id="4" xr3:uid="{07AC11D9-1C84-4FFD-BEC3-1E688DBDFEF9}" name="TID" dataDxfId="1998"/>
    <tableColumn id="5" xr3:uid="{D915ED36-24CA-4828-B387-1A2515EABC02}" name="ANTAL" dataDxfId="1997"/>
    <tableColumn id="6" xr3:uid="{F63940FC-B129-4FAF-910A-84AB238A7F6C}" name="GRUPP/LAG/SKOLA/ETC." dataDxfId="1996"/>
  </tableColumns>
  <tableStyleInfo name="Hallbokningsschema 2" showFirstColumn="0" showLastColumn="0" showRowStripes="0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D9C06F74-BB67-485A-85DB-AD28AFB359FE}" name="Tabell538455259808794101108115122129143150157164171178185192199206213220227234241248" displayName="Tabell538455259808794101108115122129143150157164171178185192199206213220227234241248" ref="A10:F11" totalsRowShown="0" headerRowDxfId="1995" dataDxfId="1994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C58666B-379B-4082-BDC0-5A5DBE64464C}" name="DAG" dataDxfId="1993">
      <calculatedColumnFormula>PROPER(TEXT(B11, "dddd"))</calculatedColumnFormula>
    </tableColumn>
    <tableColumn id="2" xr3:uid="{5E0EAD2A-48DE-4CA8-B169-581EC2A1CA43}" name="DATUM" dataDxfId="1992">
      <calculatedColumnFormula>Fredag27</calculatedColumnFormula>
    </tableColumn>
    <tableColumn id="3" xr3:uid="{4ECB02DB-573E-4388-B7BB-57879C6FBBB5}" name="Tid1" dataDxfId="1991"/>
    <tableColumn id="4" xr3:uid="{C6F6B0F8-4093-4B54-B6C2-821AFDBB0B91}" name="TID" dataDxfId="1990"/>
    <tableColumn id="5" xr3:uid="{5AE35075-8043-4108-861A-7A2EC4BDB7E5}" name="ANTAL" dataDxfId="1989"/>
    <tableColumn id="6" xr3:uid="{8A7D4C6C-A8AC-4F56-8D69-A10DFB224D1C}" name="GRUPP/LAG/SKOLA/ETC." dataDxfId="1988"/>
  </tableColumns>
  <tableStyleInfo name="Hallbokningsschema 2" showFirstColumn="0" showLastColumn="0" showRowStripes="0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EBEC4B0F-AADC-412D-BA07-6B5AD217BFAB}" name="Tabell639465360818895102109116123130144151158165172179186193200207214221228235242249" displayName="Tabell639465360818895102109116123130144151158165172179186193200207214221228235242249" ref="A12:F13" totalsRowShown="0" headerRowDxfId="1987" dataDxfId="1986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C918AFF-A176-4A28-A8F3-BEB57E8EF6D8}" name="DAG" dataDxfId="1985">
      <calculatedColumnFormula>PROPER(TEXT(B13, "dddd"))</calculatedColumnFormula>
    </tableColumn>
    <tableColumn id="2" xr3:uid="{105BF5DA-8EAD-4223-8F59-CF2A9E918B17}" name="DATUM" dataDxfId="1984">
      <calculatedColumnFormula>Lördag27</calculatedColumnFormula>
    </tableColumn>
    <tableColumn id="3" xr3:uid="{FB9E0D02-27DD-482C-950D-09A0C93A3A7F}" name="Tid1" dataDxfId="1983"/>
    <tableColumn id="4" xr3:uid="{4FA7E9A2-561E-4037-8463-16292B347ACD}" name="TID" dataDxfId="1982"/>
    <tableColumn id="5" xr3:uid="{902996AD-31B3-4D67-863A-FFE4DE6848B4}" name="ANTAL" dataDxfId="1981"/>
    <tableColumn id="6" xr3:uid="{D001A653-BFCB-466B-9285-D2FE162231BC}" name="GRUPP/LAG/SKOLA/ETC." dataDxfId="1980"/>
  </tableColumns>
  <tableStyleInfo name="Hallbokningsschema 2" showFirstColumn="0" showLastColumn="0" showRowStripes="0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712558CB-DEBD-4615-960B-1551E34CEEFF}" name="Tabell740475461828996103110117124131145152159166173180187194201208215222229236243250" displayName="Tabell740475461828996103110117124131145152159166173180187194201208215222229236243250" ref="A14:F15" totalsRowShown="0" headerRowDxfId="1979" dataDxfId="1978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05D4467-DC9C-4960-AF0A-4F4B3979BF4F}" name="DAG" dataDxfId="1977">
      <calculatedColumnFormula>PROPER(TEXT(B15, "dddd"))</calculatedColumnFormula>
    </tableColumn>
    <tableColumn id="2" xr3:uid="{E5F64DD2-32A6-47AE-9613-5F0F7497A431}" name="DATUM" dataDxfId="1976">
      <calculatedColumnFormula>Söndag27</calculatedColumnFormula>
    </tableColumn>
    <tableColumn id="3" xr3:uid="{A029A604-F1E6-4BEF-92BD-7CDCD23A46C1}" name="Tid1" dataDxfId="1975"/>
    <tableColumn id="4" xr3:uid="{5D79AFDF-EB35-4B8B-BD78-B3EDBC662F92}" name="TID" dataDxfId="1974"/>
    <tableColumn id="5" xr3:uid="{9B56A9AD-4EBE-440B-82D7-138DA40C14D3}" name="ANTAL" dataDxfId="1973"/>
    <tableColumn id="6" xr3:uid="{98169890-A818-4F5A-802A-C6A559CEC8CD}" name="GRUPP/LAG/SKOLA/ETC." dataDxfId="1972"/>
  </tableColumns>
  <tableStyleInfo name="Hallbokningsschema 2" showFirstColumn="0" showLastColumn="0" showRowStripes="0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282A260E-6477-40C7-80AD-913E9CCCE737}" name="Tabell13441485576839097104111118125139146153160167174181188195202209216223230237" displayName="Tabell13441485576839097104111118125139146153160167174181188195202209216223230237" ref="A2:F3" totalsRowShown="0" headerRowDxfId="1957" dataDxfId="1956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CF7B068-BD9D-456D-A89D-0A39B294C5A4}" name="DAG" dataDxfId="1955">
      <calculatedColumnFormula>PROPER(TEXT(B3, "dddd"))</calculatedColumnFormula>
    </tableColumn>
    <tableColumn id="2" xr3:uid="{51EA5EFD-FA47-42B7-9C7D-55CEDB85BFF7}" name="DATUM" dataDxfId="1954">
      <calculatedColumnFormula>Måndag27</calculatedColumnFormula>
    </tableColumn>
    <tableColumn id="3" xr3:uid="{3D562950-BD98-4134-B10A-B1F5F54DE96C}" name="Tid1" dataDxfId="1953"/>
    <tableColumn id="4" xr3:uid="{C3DC9D9A-81DE-4C07-BD90-921059AF9DCC}" name="TID" dataDxfId="1952"/>
    <tableColumn id="5" xr3:uid="{B633C70D-3B38-4439-B679-63779ED91283}" name="ANTAL" dataDxfId="1951"/>
    <tableColumn id="6" xr3:uid="{BFB32FA2-6510-4C1F-AC11-452B22F7368F}" name="GRUPP/LAG/SKOLA/ETC." dataDxfId="1950"/>
  </tableColumns>
  <tableStyleInfo name="Hallbokningsschema 2" showFirstColumn="0" showLastColumn="0" showRowStripes="0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9648932A-1A94-4659-AB29-45DCFF33C5C1}" name="Tabell23542495677849198105112119126140147154161168175182189196203210217224231238" displayName="Tabell23542495677849198105112119126140147154161168175182189196203210217224231238" ref="A4:F5" totalsRowShown="0" headerRowDxfId="1949" dataDxfId="1948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BD9316B-6E1A-4888-AB04-974225E1FF47}" name="DAG" dataDxfId="1947">
      <calculatedColumnFormula>PROPER(TEXT(B5, "dddd"))</calculatedColumnFormula>
    </tableColumn>
    <tableColumn id="2" xr3:uid="{16C72D72-1FDA-4B0F-BAA6-6A32611F12F0}" name="DATUM" dataDxfId="1946">
      <calculatedColumnFormula>Tisdag27</calculatedColumnFormula>
    </tableColumn>
    <tableColumn id="3" xr3:uid="{730B8E96-40CF-4F89-A225-4BEDFF7A8A0A}" name="Tid1" dataDxfId="1945"/>
    <tableColumn id="4" xr3:uid="{1A62B9C5-AA04-469B-B775-97A1777618A3}" name="TID" dataDxfId="1944"/>
    <tableColumn id="5" xr3:uid="{6A3BA62D-C6BF-49DA-AA27-D322B68356F7}" name="ANTAL" dataDxfId="1943"/>
    <tableColumn id="6" xr3:uid="{6FF4B624-D6EB-444C-A8C9-835356864065}" name="GRUPP/LAG/SKOLA/ETC." dataDxfId="1942"/>
  </tableColumns>
  <tableStyleInfo name="Hallbokningsschema 2" showFirstColumn="0" showLastColumn="0" showRowStripes="0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8FC1785B-C5F3-4783-B771-C2B1FFCA433E}" name="Tabell33643505778859299106113120127141148155162169176183190197204211218225232239" displayName="Tabell33643505778859299106113120127141148155162169176183190197204211218225232239" ref="A6:F7" totalsRowShown="0" headerRowDxfId="1941" dataDxfId="1940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B3E73F8-9928-42E3-80DF-B703D62C7561}" name="DAG" dataDxfId="1939">
      <calculatedColumnFormula>PROPER(TEXT(B7, "dddd"))</calculatedColumnFormula>
    </tableColumn>
    <tableColumn id="2" xr3:uid="{E68A78F3-C766-428B-8A15-F85B024B5E6C}" name="DATUM" dataDxfId="1938">
      <calculatedColumnFormula>Onsdag27</calculatedColumnFormula>
    </tableColumn>
    <tableColumn id="3" xr3:uid="{1C1A0DA5-F146-4C7F-ACC4-091CD09D6148}" name="Tid1" dataDxfId="1937"/>
    <tableColumn id="4" xr3:uid="{0D8A7197-3F28-4712-AE76-DA400CFF6751}" name="TID" dataDxfId="1936"/>
    <tableColumn id="5" xr3:uid="{DFE5F375-DE20-43F0-92BC-AA367ED813EB}" name="ANTAL" dataDxfId="1935"/>
    <tableColumn id="6" xr3:uid="{BE066C88-DE63-44E6-BA29-77226CD8CA53}" name="GRUPP/LAG/SKOLA/ETC." dataDxfId="1934"/>
  </tableColumns>
  <tableStyleInfo name="Hallbokningsschema 2" showFirstColumn="0" showLastColumn="0" showRowStripes="0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729873B4-FF16-41FA-8618-ABC1986C2DB9}" name="Tabell437445158798693100107114121128142149156163170177184191198205212219226233240" displayName="Tabell437445158798693100107114121128142149156163170177184191198205212219226233240" ref="A8:F9" totalsRowShown="0" headerRowDxfId="1933" dataDxfId="1932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9D32464-BDED-4167-AB02-F2B6046CAF89}" name="DAG" dataDxfId="1931">
      <calculatedColumnFormula>PROPER(TEXT(B9, "dddd"))</calculatedColumnFormula>
    </tableColumn>
    <tableColumn id="2" xr3:uid="{98B208AF-06E4-4359-AC97-A1D6ADF9D6BB}" name="DATUM" dataDxfId="1930">
      <calculatedColumnFormula>Torsdag27</calculatedColumnFormula>
    </tableColumn>
    <tableColumn id="3" xr3:uid="{02F15E74-D66A-4F6C-9CAE-28F9A8E6E2FC}" name="Tid1" dataDxfId="1929"/>
    <tableColumn id="4" xr3:uid="{5B7AD1F8-F1D9-4644-8120-7873C6B3762F}" name="TID" dataDxfId="1928"/>
    <tableColumn id="5" xr3:uid="{452BFC1F-4934-4752-8F63-0CBAA5A46A4B}" name="ANTAL" dataDxfId="1927"/>
    <tableColumn id="6" xr3:uid="{D34D6148-147B-4A60-9C79-139C836DD75D}" name="GRUPP/LAG/SKOLA/ETC." dataDxfId="1926"/>
  </tableColumns>
  <tableStyleInfo name="Hallbokningsschema 2" showFirstColumn="0" showLastColumn="0" showRowStripes="0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2835CA05-2062-4367-980C-A3FD7ED1D2AC}" name="Tabell538455259808794101108115122129143150157164171178185192199206213220227234241" displayName="Tabell538455259808794101108115122129143150157164171178185192199206213220227234241" ref="A10:F11" totalsRowShown="0" headerRowDxfId="1925" dataDxfId="1924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31313E2-F417-4C55-AA16-50DFFFF18494}" name="DAG" dataDxfId="1923">
      <calculatedColumnFormula>PROPER(TEXT(B11, "dddd"))</calculatedColumnFormula>
    </tableColumn>
    <tableColumn id="2" xr3:uid="{FE4C9A02-C548-440E-BAE7-C763C3B7D3CD}" name="DATUM" dataDxfId="1922">
      <calculatedColumnFormula>Fredag27</calculatedColumnFormula>
    </tableColumn>
    <tableColumn id="3" xr3:uid="{A768D505-3586-48EB-9AC6-86A0A8D02FD5}" name="Tid1" dataDxfId="1921"/>
    <tableColumn id="4" xr3:uid="{F965008C-237F-4566-B3E8-CFF57A38E54D}" name="TID" dataDxfId="1920"/>
    <tableColumn id="5" xr3:uid="{37A36852-D3F5-4B06-90C4-923B37E9A285}" name="ANTAL" dataDxfId="1919"/>
    <tableColumn id="6" xr3:uid="{BFBD3421-3C83-4ACC-981F-52BA9A1D59C5}" name="GRUPP/LAG/SKOLA/ETC." dataDxfId="1918"/>
  </tableColumns>
  <tableStyleInfo name="Hallbokningsschema 2" showFirstColumn="0" showLastColumn="0" showRowStripes="0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E2D7F4D7-326F-48EC-944A-70A49E33A4FD}" name="Tabell639465360818895102109116123130144151158165172179186193200207214221228235242" displayName="Tabell639465360818895102109116123130144151158165172179186193200207214221228235242" ref="A12:F13" totalsRowShown="0" headerRowDxfId="1917" dataDxfId="1916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01491B0-25D7-4E7F-8AB6-936F21B50480}" name="DAG" dataDxfId="1915">
      <calculatedColumnFormula>PROPER(TEXT(B13, "dddd"))</calculatedColumnFormula>
    </tableColumn>
    <tableColumn id="2" xr3:uid="{D351DC35-0139-4AD9-9492-622B04AC925F}" name="DATUM" dataDxfId="1914">
      <calculatedColumnFormula>Lördag27</calculatedColumnFormula>
    </tableColumn>
    <tableColumn id="3" xr3:uid="{EF593227-4F58-49E3-9572-62B4C2287CE4}" name="Tid1" dataDxfId="1913"/>
    <tableColumn id="4" xr3:uid="{4EE66084-D2F7-4961-A17C-0FE27FF898F7}" name="TID" dataDxfId="1912"/>
    <tableColumn id="5" xr3:uid="{D81C7A2B-ECD4-4ED8-9E2C-879BA1F69D01}" name="ANTAL" dataDxfId="1911"/>
    <tableColumn id="6" xr3:uid="{400447C7-46B2-435C-A134-BDDF0B4A439F}" name="GRUPP/LAG/SKOLA/ETC." dataDxfId="1910"/>
  </tableColumns>
  <tableStyleInfo name="Hallbokningsschema 2" showFirstColumn="0" showLastColumn="0" showRowStripes="0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0939CD4F-50EB-40DB-8275-2EF4A91762F3}" name="Tabell740475461828996103110117124131145152159166173180187194201208215222229236243" displayName="Tabell740475461828996103110117124131145152159166173180187194201208215222229236243" ref="A14:F15" totalsRowShown="0" headerRowDxfId="1909" dataDxfId="1908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A764E37-C067-4A16-B918-8CF3F0347C2D}" name="DAG" dataDxfId="1907">
      <calculatedColumnFormula>PROPER(TEXT(B15, "dddd"))</calculatedColumnFormula>
    </tableColumn>
    <tableColumn id="2" xr3:uid="{6ABC2EA1-D1EE-444A-AEA7-91BD074B4C28}" name="DATUM" dataDxfId="1906">
      <calculatedColumnFormula>Söndag27</calculatedColumnFormula>
    </tableColumn>
    <tableColumn id="3" xr3:uid="{BE6D95A8-6B9C-44FB-81AF-05F335DCB275}" name="Tid1" dataDxfId="1905"/>
    <tableColumn id="4" xr3:uid="{2CD08C5F-DDDC-4128-8529-EAFE8D6B6D79}" name="TID" dataDxfId="1904"/>
    <tableColumn id="5" xr3:uid="{0A8E02BF-E81E-4408-8AC6-DFAE4E4C6317}" name="ANTAL" dataDxfId="1903"/>
    <tableColumn id="6" xr3:uid="{B3162F27-246A-4B5C-A835-7C772E9566E7}" name="GRUPP/LAG/SKOLA/ETC." dataDxfId="1902"/>
  </tableColumns>
  <tableStyleInfo name="Hallbokningsschema 2" showFirstColumn="0" showLastColumn="0" showRowStripes="0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75756916-409A-492B-B22E-3244026E9DA3}" name="Tabell13441485576839097104111118125139146153160167174181188195202209216223230" displayName="Tabell13441485576839097104111118125139146153160167174181188195202209216223230" ref="A2:F3" totalsRowShown="0" headerRowDxfId="1887" dataDxfId="1886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B6FB6D0-E6C8-4540-8945-E4B0675D4BB4}" name="DAG" dataDxfId="1885">
      <calculatedColumnFormula>PROPER(TEXT(B3, "dddd"))</calculatedColumnFormula>
    </tableColumn>
    <tableColumn id="2" xr3:uid="{B31526BF-49B0-4879-8602-04377CA852F9}" name="DATUM" dataDxfId="1884">
      <calculatedColumnFormula>Måndag28</calculatedColumnFormula>
    </tableColumn>
    <tableColumn id="3" xr3:uid="{C03D93FE-2E44-4805-A0A1-FC76AF0F102C}" name="Tid1" dataDxfId="1883"/>
    <tableColumn id="4" xr3:uid="{0A1B13CC-3DAB-4969-8916-4BB9BD2077E5}" name="TID" dataDxfId="1882"/>
    <tableColumn id="5" xr3:uid="{DB2E4066-B8F3-4262-B71F-E4784A83435E}" name="ANTAL" dataDxfId="1881"/>
    <tableColumn id="6" xr3:uid="{9060E599-C469-427A-B99E-85597F734B83}" name="GRUPP/LAG/SKOLA/ETC." dataDxfId="1880"/>
  </tableColumns>
  <tableStyleInfo name="Hallbokningsschema 2" showFirstColumn="0" showLastColumn="0" showRowStripes="0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971B66A1-90E2-4834-8259-D15FC364E82B}" name="Tabell23542495677849198105112119126140147154161168175182189196203210217224231" displayName="Tabell23542495677849198105112119126140147154161168175182189196203210217224231" ref="A4:F5" totalsRowShown="0" headerRowDxfId="1879" dataDxfId="1878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8618015-BAE8-447F-B0E4-7760B332FA0D}" name="DAG" dataDxfId="1877">
      <calculatedColumnFormula>PROPER(TEXT(B5, "dddd"))</calculatedColumnFormula>
    </tableColumn>
    <tableColumn id="2" xr3:uid="{A2C50AD0-CC86-474C-A6BD-E27DA4ED0854}" name="DATUM" dataDxfId="1876">
      <calculatedColumnFormula>Tisdag28</calculatedColumnFormula>
    </tableColumn>
    <tableColumn id="3" xr3:uid="{F409AD8B-AFDD-4B69-BCDA-F08CDBD08124}" name="Tid1" dataDxfId="1875"/>
    <tableColumn id="4" xr3:uid="{08E0CBFF-F946-44F7-AB78-39C35B6E43B7}" name="TID" dataDxfId="1874"/>
    <tableColumn id="5" xr3:uid="{15CFC20B-66DF-4AD5-B876-612E661465C4}" name="ANTAL" dataDxfId="1873"/>
    <tableColumn id="6" xr3:uid="{B54D1552-5021-4FD3-8F3C-E02B5968EFA2}" name="GRUPP/LAG/SKOLA/ETC." dataDxfId="1872"/>
  </tableColumns>
  <tableStyleInfo name="Hallbokningsschema 2" showFirstColumn="0" showLastColumn="0" showRowStripes="0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70495640-C0A9-4637-969D-668BAC34DEF2}" name="Tabell33643505778859299106113120127141148155162169176183190197204211218225232" displayName="Tabell33643505778859299106113120127141148155162169176183190197204211218225232" ref="A6:F7" totalsRowShown="0" headerRowDxfId="1871" dataDxfId="1870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8CB3217-C51A-45D5-A2DA-6543EFF761DF}" name="DAG" dataDxfId="1869">
      <calculatedColumnFormula>PROPER(TEXT(B7, "dddd"))</calculatedColumnFormula>
    </tableColumn>
    <tableColumn id="2" xr3:uid="{DBA20B5A-A45A-44CA-9700-CCA9EA683DF0}" name="DATUM" dataDxfId="1868">
      <calculatedColumnFormula>Onsdag28</calculatedColumnFormula>
    </tableColumn>
    <tableColumn id="3" xr3:uid="{FE06BED7-3F7E-4DAA-9571-D5C00DA43325}" name="Tid1" dataDxfId="1867"/>
    <tableColumn id="4" xr3:uid="{E470A18F-CEF0-4A15-BA03-F9D3298A6E08}" name="TID" dataDxfId="1866"/>
    <tableColumn id="5" xr3:uid="{1A200334-4CC9-4A78-94FB-B86DBFBFADE3}" name="ANTAL" dataDxfId="1865"/>
    <tableColumn id="6" xr3:uid="{163BB741-AD42-482C-95DE-E39F37980FEC}" name="GRUPP/LAG/SKOLA/ETC." dataDxfId="1864"/>
  </tableColumns>
  <tableStyleInfo name="Hallbokningsschema 2" showFirstColumn="0" showLastColumn="0" showRowStripes="0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66997F0D-4E09-40D4-B5D9-BE7F635FA83C}" name="Tabell437445158798693100107114121128142149156163170177184191198205212219226233" displayName="Tabell437445158798693100107114121128142149156163170177184191198205212219226233" ref="A8:F9" totalsRowShown="0" headerRowDxfId="1863" dataDxfId="1862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1DC40BA-1AED-4D49-9152-0177DB5B425C}" name="DAG" dataDxfId="1861">
      <calculatedColumnFormula>PROPER(TEXT(B9, "dddd"))</calculatedColumnFormula>
    </tableColumn>
    <tableColumn id="2" xr3:uid="{3E03D930-ADF1-467A-B681-A0537595EEDE}" name="DATUM" dataDxfId="1860">
      <calculatedColumnFormula>Torsdag28</calculatedColumnFormula>
    </tableColumn>
    <tableColumn id="3" xr3:uid="{76695C12-7AED-489B-9E92-5F841768D49F}" name="Tid1" dataDxfId="1859"/>
    <tableColumn id="4" xr3:uid="{8EB44CF8-768C-4053-A993-58EF6468C690}" name="TID" dataDxfId="1858"/>
    <tableColumn id="5" xr3:uid="{F4A57A07-9273-40C4-9C4F-C76AA250E4ED}" name="ANTAL" dataDxfId="1857"/>
    <tableColumn id="6" xr3:uid="{3777A409-D209-43D7-8608-6DF6A92B83B7}" name="GRUPP/LAG/SKOLA/ETC." dataDxfId="1856"/>
  </tableColumns>
  <tableStyleInfo name="Hallbokningsschema 2" showFirstColumn="0" showLastColumn="0" showRowStripes="0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BB7133D2-7E29-4F6E-B4F8-B191D48F3B6B}" name="Tabell538455259808794101108115122129143150157164171178185192199206213220227234" displayName="Tabell538455259808794101108115122129143150157164171178185192199206213220227234" ref="A10:F11" totalsRowShown="0" headerRowDxfId="1855" dataDxfId="1854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7F4B132-F447-4C3A-A3E3-4B9735F12953}" name="DAG" dataDxfId="1853">
      <calculatedColumnFormula>PROPER(TEXT(B11, "dddd"))</calculatedColumnFormula>
    </tableColumn>
    <tableColumn id="2" xr3:uid="{FFDD47F1-94D8-495A-84AD-7DDE170AECB0}" name="DATUM" dataDxfId="1852">
      <calculatedColumnFormula>Fredag28</calculatedColumnFormula>
    </tableColumn>
    <tableColumn id="3" xr3:uid="{190528B6-D2F0-4979-899D-AFF2574E273E}" name="Tid1" dataDxfId="1851"/>
    <tableColumn id="4" xr3:uid="{6D83D301-C2A0-4542-824C-D7A0D8056F82}" name="TID" dataDxfId="1850"/>
    <tableColumn id="5" xr3:uid="{4395B577-BACB-4F3F-B21E-6AC58641677E}" name="ANTAL" dataDxfId="1849"/>
    <tableColumn id="6" xr3:uid="{4CEFAD32-584A-45F5-8C4C-5683BD9CE1DC}" name="GRUPP/LAG/SKOLA/ETC." dataDxfId="1848"/>
  </tableColumns>
  <tableStyleInfo name="Hallbokningsschema 2" showFirstColumn="0" showLastColumn="0" showRowStripes="0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39AFBED0-A9C7-4B14-8127-C472629F436A}" name="Tabell639465360818895102109116123130144151158165172179186193200207214221228235" displayName="Tabell639465360818895102109116123130144151158165172179186193200207214221228235" ref="A12:F13" totalsRowShown="0" headerRowDxfId="1847" dataDxfId="1846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3BB13A0-E664-4939-90D4-9DDDFBD49E72}" name="DAG" dataDxfId="1845">
      <calculatedColumnFormula>PROPER(TEXT(B13, "dddd"))</calculatedColumnFormula>
    </tableColumn>
    <tableColumn id="2" xr3:uid="{1B56A02C-784D-4CD6-94E8-83B2615B6179}" name="DATUM" dataDxfId="1844">
      <calculatedColumnFormula>Lördag28</calculatedColumnFormula>
    </tableColumn>
    <tableColumn id="3" xr3:uid="{C267E809-2230-4511-A540-459E95D76A21}" name="Tid1" dataDxfId="1843"/>
    <tableColumn id="4" xr3:uid="{25347863-7B9C-4BF1-BE93-0091567A1075}" name="TID" dataDxfId="1842"/>
    <tableColumn id="5" xr3:uid="{3D720284-CE1F-4DB0-AB52-C9D2464E08A4}" name="ANTAL" dataDxfId="1841"/>
    <tableColumn id="6" xr3:uid="{97AB9B66-9233-464E-95C9-EB9C9070C451}" name="GRUPP/LAG/SKOLA/ETC." dataDxfId="1840"/>
  </tableColumns>
  <tableStyleInfo name="Hallbokningsschema 2" showFirstColumn="0" showLastColumn="0" showRowStripes="0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1CA2D4DF-15F7-4D39-83DC-C23BE0CCC333}" name="Tabell740475461828996103110117124131145152159166173180187194201208215222229236" displayName="Tabell740475461828996103110117124131145152159166173180187194201208215222229236" ref="A14:F15" totalsRowShown="0" headerRowDxfId="1839" dataDxfId="1838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13A5305-3C80-4AED-A05D-437E4163B2D7}" name="DAG" dataDxfId="1837">
      <calculatedColumnFormula>PROPER(TEXT(B15, "dddd"))</calculatedColumnFormula>
    </tableColumn>
    <tableColumn id="2" xr3:uid="{502823FA-F432-4FE4-BA6C-D1B6FB9DE753}" name="DATUM" dataDxfId="1836">
      <calculatedColumnFormula>Söndag28</calculatedColumnFormula>
    </tableColumn>
    <tableColumn id="3" xr3:uid="{A99362F7-7ABD-4BF7-A6E3-2C814B8625D4}" name="Tid1" dataDxfId="1835"/>
    <tableColumn id="4" xr3:uid="{321554B1-8104-4371-A715-DFD5EAB0E3D0}" name="TID" dataDxfId="1834"/>
    <tableColumn id="5" xr3:uid="{2B460C0B-A814-4AB6-BCD7-FC9B0A48F0FE}" name="ANTAL" dataDxfId="1833"/>
    <tableColumn id="6" xr3:uid="{AC9084AD-8E2D-46E8-8858-3676F59814E0}" name="GRUPP/LAG/SKOLA/ETC." dataDxfId="1832"/>
  </tableColumns>
  <tableStyleInfo name="Hallbokningsschema 2" showFirstColumn="0" showLastColumn="0" showRowStripes="0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9B17BA33-019A-4205-ACFF-E0EB9CEAA1AB}" name="Tabell13441485576839097104111118125139146153160167174181188195202209216223" displayName="Tabell13441485576839097104111118125139146153160167174181188195202209216223" ref="A2:F3" totalsRowShown="0" headerRowDxfId="1817" dataDxfId="1816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94EC421-AC49-4543-9070-22470D6A1E66}" name="DAG" dataDxfId="1815">
      <calculatedColumnFormula>PROPER(TEXT(B3, "dddd"))</calculatedColumnFormula>
    </tableColumn>
    <tableColumn id="2" xr3:uid="{A989A1A8-D5C9-48EE-9DA5-6CB0BDCD059F}" name="DATUM" dataDxfId="1814">
      <calculatedColumnFormula>Måndag29</calculatedColumnFormula>
    </tableColumn>
    <tableColumn id="3" xr3:uid="{861D1B6F-728B-42B7-8659-CC5A1A8D9C96}" name="Tid1" dataDxfId="1813"/>
    <tableColumn id="4" xr3:uid="{CCCA56AA-1E86-4922-B0D8-9496104D78DB}" name="TID" dataDxfId="1812"/>
    <tableColumn id="5" xr3:uid="{305AD0AA-5C38-4EA1-92EF-66159E02F058}" name="ANTAL" dataDxfId="1811"/>
    <tableColumn id="6" xr3:uid="{0BD3E0B0-4EAA-4F1B-9D5B-9C92EC1C7DC0}" name="GRUPP/LAG/SKOLA/ETC." dataDxfId="1810"/>
  </tableColumns>
  <tableStyleInfo name="Hallbokningsschema 2" showFirstColumn="0" showLastColumn="0" showRowStripes="0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A98FDE7D-46B8-4FBB-8FF7-2BD01E57416E}" name="Tabell23542495677849198105112119126140147154161168175182189196203210217224" displayName="Tabell23542495677849198105112119126140147154161168175182189196203210217224" ref="A4:F5" totalsRowShown="0" headerRowDxfId="1809" dataDxfId="1808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8D00027-37BF-4CD6-B244-3AA858F410B9}" name="DAG" dataDxfId="1807">
      <calculatedColumnFormula>PROPER(TEXT(B5, "dddd"))</calculatedColumnFormula>
    </tableColumn>
    <tableColumn id="2" xr3:uid="{A1159518-3994-4C0B-86A3-5CF94A865E7D}" name="DATUM" dataDxfId="1806">
      <calculatedColumnFormula>Tisdag29</calculatedColumnFormula>
    </tableColumn>
    <tableColumn id="3" xr3:uid="{5445CB16-2087-437E-9FDE-5AF265255C6E}" name="Tid1" dataDxfId="1805"/>
    <tableColumn id="4" xr3:uid="{D5A323C0-E4F2-4555-90F8-7D3EEA84F5A2}" name="TID" dataDxfId="1804"/>
    <tableColumn id="5" xr3:uid="{76B4CA4E-BD83-4914-BE95-0D9FF7228874}" name="ANTAL" dataDxfId="1803"/>
    <tableColumn id="6" xr3:uid="{94AEFE00-F9B7-408A-A665-EA4F1644592D}" name="GRUPP/LAG/SKOLA/ETC." dataDxfId="1802"/>
  </tableColumns>
  <tableStyleInfo name="Hallbokningsschema 2" showFirstColumn="0" showLastColumn="0" showRowStripes="0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49689D9C-5003-4A7A-8DD7-17D3D4D3C74D}" name="Tabell33643505778859299106113120127141148155162169176183190197204211218225" displayName="Tabell33643505778859299106113120127141148155162169176183190197204211218225" ref="A6:F7" totalsRowShown="0" headerRowDxfId="1801" dataDxfId="1800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72138A4-4C01-4441-BB26-4ED5AFB9F3B0}" name="DAG" dataDxfId="1799">
      <calculatedColumnFormula>PROPER(TEXT(B7, "dddd"))</calculatedColumnFormula>
    </tableColumn>
    <tableColumn id="2" xr3:uid="{CD5C2CC6-B70F-4740-81BC-6B677B4D037E}" name="DATUM" dataDxfId="1798">
      <calculatedColumnFormula>Onsdag29</calculatedColumnFormula>
    </tableColumn>
    <tableColumn id="3" xr3:uid="{6ACE2518-11EC-4BC2-AA3A-A98883E544C2}" name="Tid1" dataDxfId="1797"/>
    <tableColumn id="4" xr3:uid="{0E860045-AF87-49E8-9878-B69F091F1AB9}" name="TID" dataDxfId="1796"/>
    <tableColumn id="5" xr3:uid="{D86D40C7-B9BC-4032-AF6F-73A92E8D0952}" name="ANTAL" dataDxfId="1795"/>
    <tableColumn id="6" xr3:uid="{23EA3B51-9B3B-4207-BB51-C2E029BE723F}" name="GRUPP/LAG/SKOLA/ETC." dataDxfId="1794"/>
  </tableColumns>
  <tableStyleInfo name="Hallbokningsschema 2" showFirstColumn="0" showLastColumn="0" showRowStripes="0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8306DC37-E2B2-4E1E-97CC-785D1EE9B7C1}" name="Tabell437445158798693100107114121128142149156163170177184191198205212219226" displayName="Tabell437445158798693100107114121128142149156163170177184191198205212219226" ref="A8:F9" totalsRowShown="0" headerRowDxfId="1793" dataDxfId="1792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72A0B6A-F7DD-44E4-97EA-672FECFDC1E9}" name="DAG" dataDxfId="1791">
      <calculatedColumnFormula>PROPER(TEXT(B9, "dddd"))</calculatedColumnFormula>
    </tableColumn>
    <tableColumn id="2" xr3:uid="{BCEA5910-AA25-4880-932C-955E380EC045}" name="DATUM" dataDxfId="1790">
      <calculatedColumnFormula>Torsdag29</calculatedColumnFormula>
    </tableColumn>
    <tableColumn id="3" xr3:uid="{16600121-77BE-4679-91F7-BC2460DAEAC7}" name="Tid1" dataDxfId="1789"/>
    <tableColumn id="4" xr3:uid="{DDCF9AE5-343E-46F3-A4EB-C8FBBAA52F08}" name="TID" dataDxfId="1788"/>
    <tableColumn id="5" xr3:uid="{3DD4E36E-627C-4D8A-9DC2-47BB0F0C267C}" name="ANTAL" dataDxfId="1787"/>
    <tableColumn id="6" xr3:uid="{41E65A6B-45AF-47E6-AFEF-05B80D82C710}" name="GRUPP/LAG/SKOLA/ETC." dataDxfId="1786"/>
  </tableColumns>
  <tableStyleInfo name="Hallbokningsschema 2" showFirstColumn="0" showLastColumn="0" showRowStripes="0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A63FDD4A-51B1-4FE6-843C-0FC2DCB9AF9E}" name="Tabell538455259808794101108115122129143150157164171178185192199206213220227" displayName="Tabell538455259808794101108115122129143150157164171178185192199206213220227" ref="A10:F11" totalsRowShown="0" headerRowDxfId="1785" dataDxfId="1784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00AB268-A3EF-4233-92ED-2E2E1FB5073A}" name="DAG" dataDxfId="1783">
      <calculatedColumnFormula>PROPER(TEXT(B11, "dddd"))</calculatedColumnFormula>
    </tableColumn>
    <tableColumn id="2" xr3:uid="{77726967-1B9A-422A-842D-8A5E0212542F}" name="DATUM" dataDxfId="1782">
      <calculatedColumnFormula>Fredag29</calculatedColumnFormula>
    </tableColumn>
    <tableColumn id="3" xr3:uid="{5A230E6D-B45C-47AB-95CE-72DAAECE03BD}" name="Tid1" dataDxfId="1781"/>
    <tableColumn id="4" xr3:uid="{DFB7E257-0D00-460D-8753-20623D4DB968}" name="TID" dataDxfId="1780"/>
    <tableColumn id="5" xr3:uid="{D1B30F93-C9D6-44FD-90B0-3732CD4D0B23}" name="ANTAL" dataDxfId="1779"/>
    <tableColumn id="6" xr3:uid="{87C5E20C-0BC9-4719-88FE-54F1A2F7DB8C}" name="GRUPP/LAG/SKOLA/ETC." dataDxfId="1778"/>
  </tableColumns>
  <tableStyleInfo name="Hallbokningsschema 2" showFirstColumn="0" showLastColumn="0" showRowStripes="0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93C5A8DB-2976-4EFF-B44A-17C7806846B6}" name="Tabell639465360818895102109116123130144151158165172179186193200207214221228" displayName="Tabell639465360818895102109116123130144151158165172179186193200207214221228" ref="A12:F13" totalsRowShown="0" headerRowDxfId="1777" dataDxfId="1776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5BE05C7-6D63-4D0B-8285-D4C006303691}" name="DAG" dataDxfId="1775">
      <calculatedColumnFormula>PROPER(TEXT(B13, "dddd"))</calculatedColumnFormula>
    </tableColumn>
    <tableColumn id="2" xr3:uid="{1A4DE36A-4901-45EB-9EBA-78AD695F683E}" name="DATUM" dataDxfId="1774">
      <calculatedColumnFormula>Lördag29</calculatedColumnFormula>
    </tableColumn>
    <tableColumn id="3" xr3:uid="{6FC4D2A7-2A28-4CB0-8EF6-1F796B2FE1F8}" name="Tid1" dataDxfId="1773"/>
    <tableColumn id="4" xr3:uid="{75DB44FB-4CCF-4BA8-9976-E5620489905A}" name="TID" dataDxfId="1772"/>
    <tableColumn id="5" xr3:uid="{CDA67DF6-1DE4-4F38-9757-EBE2BE7AD49E}" name="ANTAL" dataDxfId="1771"/>
    <tableColumn id="6" xr3:uid="{66143695-A7A7-4238-BD00-CC235926628A}" name="GRUPP/LAG/SKOLA/ETC." dataDxfId="1770"/>
  </tableColumns>
  <tableStyleInfo name="Hallbokningsschema 2" showFirstColumn="0" showLastColumn="0" showRowStripes="0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58453EFE-6C2C-499D-A1F7-C98F8823EDA8}" name="Tabell740475461828996103110117124131145152159166173180187194201208215222229" displayName="Tabell740475461828996103110117124131145152159166173180187194201208215222229" ref="A14:F15" totalsRowShown="0" headerRowDxfId="1769" dataDxfId="1768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0823FC2-7DA9-4BEB-8A94-7AE6048EE1F6}" name="DAG" dataDxfId="1767">
      <calculatedColumnFormula>PROPER(TEXT(B15, "dddd"))</calculatedColumnFormula>
    </tableColumn>
    <tableColumn id="2" xr3:uid="{3F894CF4-84DF-4AE9-BD62-9896050460EA}" name="DATUM" dataDxfId="1766">
      <calculatedColumnFormula>Söndag29</calculatedColumnFormula>
    </tableColumn>
    <tableColumn id="3" xr3:uid="{93725C90-7474-445C-9511-F01664632029}" name="Tid1" dataDxfId="1765"/>
    <tableColumn id="4" xr3:uid="{DB0C2B80-0357-4A96-926E-51E781692564}" name="TID" dataDxfId="1764"/>
    <tableColumn id="5" xr3:uid="{574BC770-FA18-498D-B715-E8A020379741}" name="ANTAL" dataDxfId="1763"/>
    <tableColumn id="6" xr3:uid="{A3210EEA-2065-4C3B-B73F-DB2AC4DAC8E7}" name="GRUPP/LAG/SKOLA/ETC." dataDxfId="1762"/>
  </tableColumns>
  <tableStyleInfo name="Hallbokningsschema 2" showFirstColumn="0" showLastColumn="0" showRowStripes="0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84F42425-CD7B-40C4-A965-A017E609DD02}" name="Tabell13441485576839097104111118125139146153160167174181188195202209216" displayName="Tabell13441485576839097104111118125139146153160167174181188195202209216" ref="A2:F3" totalsRowShown="0" headerRowDxfId="1744" dataDxfId="1743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A218069-7B76-4532-90D9-71F2B1A1A5B1}" name="DAG" dataDxfId="1742">
      <calculatedColumnFormula>PROPER(TEXT(B3, "dddd"))</calculatedColumnFormula>
    </tableColumn>
    <tableColumn id="2" xr3:uid="{F6EB05F4-559A-4769-BF26-2E40535F7237}" name="DATUM" dataDxfId="1741">
      <calculatedColumnFormula>Måndag30</calculatedColumnFormula>
    </tableColumn>
    <tableColumn id="3" xr3:uid="{F98EE0C8-B8F8-4F4A-A823-684E9A3D0C13}" name="Tid1" dataDxfId="1740"/>
    <tableColumn id="4" xr3:uid="{78E241BE-073A-40B4-A5D3-8BD041E1F1F7}" name="TID" dataDxfId="1739"/>
    <tableColumn id="5" xr3:uid="{FBAD4020-00A1-445D-AC8A-AB55C788B7A0}" name="ANTAL" dataDxfId="1738"/>
    <tableColumn id="6" xr3:uid="{A088FDCC-1AC9-44BA-B83E-E1A1DFD5CC33}" name="GRUPP/LAG/SKOLA/ETC." dataDxfId="1737"/>
  </tableColumns>
  <tableStyleInfo name="Hallbokningsschema 2" showFirstColumn="0" showLastColumn="0" showRowStripes="0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3D96F385-9489-4484-B545-20D3A252B178}" name="Tabell23542495677849198105112119126140147154161168175182189196203210217" displayName="Tabell23542495677849198105112119126140147154161168175182189196203210217" ref="A4:F5" totalsRowShown="0" headerRowDxfId="1736" dataDxfId="1735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DB07C97-1FCB-4FE3-96F4-E520710C92F4}" name="DAG" dataDxfId="1734">
      <calculatedColumnFormula>PROPER(TEXT(B5, "dddd"))</calculatedColumnFormula>
    </tableColumn>
    <tableColumn id="2" xr3:uid="{6FF4895C-ACDC-43A6-9E4F-F3F57E0F0D1A}" name="DATUM" dataDxfId="1733">
      <calculatedColumnFormula>Tisdag30</calculatedColumnFormula>
    </tableColumn>
    <tableColumn id="3" xr3:uid="{891088BA-2BB9-4BCA-858E-FE33F9C73280}" name="Tid1" dataDxfId="1732"/>
    <tableColumn id="4" xr3:uid="{B4DBD8E5-90E9-4236-AEBC-8BCBAAB26D65}" name="TID" dataDxfId="1731"/>
    <tableColumn id="5" xr3:uid="{439EB910-4F3C-46AA-8176-8C6A2F0A5F9F}" name="ANTAL" dataDxfId="1730"/>
    <tableColumn id="6" xr3:uid="{67004D75-F3D0-4A49-8B56-AF7E0BF90F12}" name="GRUPP/LAG/SKOLA/ETC." dataDxfId="1729"/>
  </tableColumns>
  <tableStyleInfo name="Hallbokningsschema 2" showFirstColumn="0" showLastColumn="0" showRowStripes="0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2C37A218-6C94-455E-B30E-E7A70535DBA0}" name="Tabell33643505778859299106113120127141148155162169176183190197204211218" displayName="Tabell33643505778859299106113120127141148155162169176183190197204211218" ref="A6:F7" totalsRowShown="0" headerRowDxfId="1728" dataDxfId="1727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91938B3-C1F3-48D4-8185-53EF6563BBA7}" name="DAG" dataDxfId="1726">
      <calculatedColumnFormula>PROPER(TEXT(B7, "dddd"))</calculatedColumnFormula>
    </tableColumn>
    <tableColumn id="2" xr3:uid="{A844059D-D32B-46AF-8EFB-2CD5C5EC46E9}" name="DATUM" dataDxfId="1725">
      <calculatedColumnFormula>Onsdag30</calculatedColumnFormula>
    </tableColumn>
    <tableColumn id="3" xr3:uid="{993DE3B9-A7D5-43E6-9062-64730F817E10}" name="Tid1" dataDxfId="1724"/>
    <tableColumn id="4" xr3:uid="{1640635F-F060-478B-B1CF-292FFD861994}" name="TID" dataDxfId="1723"/>
    <tableColumn id="5" xr3:uid="{6A95F309-890B-4F65-8A74-56C6D4EB06C4}" name="ANTAL" dataDxfId="1722"/>
    <tableColumn id="6" xr3:uid="{FF738442-9ECF-4D9A-B371-23A36A65DF8B}" name="GRUPP/LAG/SKOLA/ETC." dataDxfId="1721"/>
  </tableColumns>
  <tableStyleInfo name="Hallbokningsschema 2" showFirstColumn="0" showLastColumn="0" showRowStripes="0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EB375D75-177F-4347-BBC4-78C035622360}" name="Tabell437445158798693100107114121128142149156163170177184191198205212219" displayName="Tabell437445158798693100107114121128142149156163170177184191198205212219" ref="A8:F9" totalsRowShown="0" headerRowDxfId="1720" dataDxfId="1719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02365CC-FEE5-44CB-AF18-B545821CA687}" name="DAG" dataDxfId="1718">
      <calculatedColumnFormula>PROPER(TEXT(B9, "dddd"))</calculatedColumnFormula>
    </tableColumn>
    <tableColumn id="2" xr3:uid="{F533918E-2105-48BE-A8DA-E9206E26D860}" name="DATUM" dataDxfId="1717">
      <calculatedColumnFormula>Torsdag30</calculatedColumnFormula>
    </tableColumn>
    <tableColumn id="3" xr3:uid="{26D7C1FB-4EB5-477A-B0E9-6B0B9A4A403F}" name="Tid1" dataDxfId="1716"/>
    <tableColumn id="4" xr3:uid="{6155CC30-0D81-4F94-A569-EEA31AB2F24E}" name="TID" dataDxfId="1715"/>
    <tableColumn id="5" xr3:uid="{4A8A5656-29B3-4AEC-9447-F55041A5C3EF}" name="ANTAL" dataDxfId="1714"/>
    <tableColumn id="6" xr3:uid="{8D9AB6A5-E5B0-4D10-AA6A-D3366E034F19}" name="GRUPP/LAG/SKOLA/ETC." dataDxfId="1713"/>
  </tableColumns>
  <tableStyleInfo name="Hallbokningsschema 2" showFirstColumn="0" showLastColumn="0" showRowStripes="0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98A2D31F-BF85-404B-851D-77E433D565C0}" name="Tabell538455259808794101108115122129143150157164171178185192199206213220" displayName="Tabell538455259808794101108115122129143150157164171178185192199206213220" ref="A10:F11" totalsRowShown="0" headerRowDxfId="1712" dataDxfId="1711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4C1FE3B-2FA0-4308-9E14-F22410D47BCA}" name="DAG" dataDxfId="1710">
      <calculatedColumnFormula>PROPER(TEXT(B11, "dddd"))</calculatedColumnFormula>
    </tableColumn>
    <tableColumn id="2" xr3:uid="{AB5DEEBF-94BC-4099-B1DC-ADF47E4C02D5}" name="DATUM" dataDxfId="1709">
      <calculatedColumnFormula>Fredag30</calculatedColumnFormula>
    </tableColumn>
    <tableColumn id="3" xr3:uid="{44A5FB96-36C4-491D-97D1-D0A132A18BFD}" name="Tid1" dataDxfId="1708"/>
    <tableColumn id="4" xr3:uid="{CE48DC46-2903-4150-A4CF-DE712D1E2406}" name="TID" dataDxfId="1707"/>
    <tableColumn id="5" xr3:uid="{1E1A40E9-59F7-429A-87E0-897D08D6FD36}" name="ANTAL" dataDxfId="1706"/>
    <tableColumn id="6" xr3:uid="{DD6B3FCB-3DFE-476F-90C9-2AFCCE0372EC}" name="GRUPP/LAG/SKOLA/ETC." dataDxfId="1705"/>
  </tableColumns>
  <tableStyleInfo name="Hallbokningsschema 2" showFirstColumn="0" showLastColumn="0" showRowStripes="0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3CC8E4FB-D271-42A0-A946-ED5CEB0BEB16}" name="Tabell639465360818895102109116123130144151158165172179186193200207214221" displayName="Tabell639465360818895102109116123130144151158165172179186193200207214221" ref="A12:F13" totalsRowShown="0" headerRowDxfId="1704" dataDxfId="1703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9EE5CDA-5C79-4BF4-BED6-2FB86AB3506C}" name="DAG" dataDxfId="1702">
      <calculatedColumnFormula>PROPER(TEXT(B13, "dddd"))</calculatedColumnFormula>
    </tableColumn>
    <tableColumn id="2" xr3:uid="{410891B3-5548-4D87-80B7-DB620C23681A}" name="DATUM" dataDxfId="1701">
      <calculatedColumnFormula>Lördag30</calculatedColumnFormula>
    </tableColumn>
    <tableColumn id="3" xr3:uid="{42EEE283-1C09-4757-B10E-8E3E3D05E098}" name="Tid1" dataDxfId="1700"/>
    <tableColumn id="4" xr3:uid="{2590B3B0-DFB2-4DEB-A1C8-B0A2833FA2B8}" name="TID" dataDxfId="1699"/>
    <tableColumn id="5" xr3:uid="{122C982F-4638-4EA2-A1DF-D53A64D52EE1}" name="ANTAL" dataDxfId="1698"/>
    <tableColumn id="6" xr3:uid="{FAE8C055-0643-4AC1-98D9-DA7BB4DCC4C1}" name="GRUPP/LAG/SKOLA/ETC." dataDxfId="1697"/>
  </tableColumns>
  <tableStyleInfo name="Hallbokningsschema 2" showFirstColumn="0" showLastColumn="0" showRowStripes="0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D78E113D-A3A4-4F0E-A564-6CCB9BFE231D}" name="Tabell740475461828996103110117124131145152159166173180187194201208215222" displayName="Tabell740475461828996103110117124131145152159166173180187194201208215222" ref="A14:F15" totalsRowShown="0" headerRowDxfId="1696" dataDxfId="1695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0A92116-9F33-47A0-88D0-FAB4F3982F8C}" name="DAG" dataDxfId="1694">
      <calculatedColumnFormula>PROPER(TEXT(B15, "dddd"))</calculatedColumnFormula>
    </tableColumn>
    <tableColumn id="2" xr3:uid="{D8D78017-A69D-47EC-8BEA-B9FF1C6D4FED}" name="DATUM" dataDxfId="1693">
      <calculatedColumnFormula>Söndag30</calculatedColumnFormula>
    </tableColumn>
    <tableColumn id="3" xr3:uid="{B094D285-AECE-4E21-964F-64DBACF74B5B}" name="Tid1" dataDxfId="1692"/>
    <tableColumn id="4" xr3:uid="{C018037E-5A61-4659-AAA2-115EAAAA9F18}" name="TID" dataDxfId="1691"/>
    <tableColumn id="5" xr3:uid="{84CCE0A8-A41C-4DBC-939F-8D72666BA168}" name="ANTAL" dataDxfId="1690"/>
    <tableColumn id="6" xr3:uid="{CF96A25E-C307-4CE0-B2A1-5E8DE397F6BC}" name="GRUPP/LAG/SKOLA/ETC." dataDxfId="1689"/>
  </tableColumns>
  <tableStyleInfo name="Hallbokningsschema 2" showFirstColumn="0" showLastColumn="0" showRowStripes="0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DD898AD3-0755-4FD2-8F8D-4EE9A7590A2A}" name="Tabell13441485576839097104111118125139146153160167174181188195202209" displayName="Tabell13441485576839097104111118125139146153160167174181188195202209" ref="A2:F3" totalsRowShown="0" headerRowDxfId="1674" dataDxfId="1673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5A0318C-C802-4573-B2FE-4C5ACBADBAF3}" name="DAG" dataDxfId="1672">
      <calculatedColumnFormula>PROPER(TEXT(B3, "dddd"))</calculatedColumnFormula>
    </tableColumn>
    <tableColumn id="2" xr3:uid="{B2F5FBA0-C6D9-44DB-999D-EAD81F2E5F43}" name="DATUM" dataDxfId="1671">
      <calculatedColumnFormula>Måndag31</calculatedColumnFormula>
    </tableColumn>
    <tableColumn id="3" xr3:uid="{DD30CD86-45BA-4B86-9636-94B2A90E3A58}" name="Tid1" dataDxfId="1670"/>
    <tableColumn id="4" xr3:uid="{C6B7E162-4D91-4914-B0B6-ED997D77D6E7}" name="TID" dataDxfId="1669"/>
    <tableColumn id="5" xr3:uid="{CA15336A-035D-4C98-ABC5-3FC3ECB38739}" name="ANTAL" dataDxfId="1668"/>
    <tableColumn id="6" xr3:uid="{4B760C4C-F148-4E19-A756-8156A9BA41DE}" name="GRUPP/LAG/SKOLA/ETC." dataDxfId="1667"/>
  </tableColumns>
  <tableStyleInfo name="Hallbokningsschema 2" showFirstColumn="0" showLastColumn="0" showRowStripes="0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38D870F4-CF11-43AD-A270-1B168DD972DC}" name="Tabell23542495677849198105112119126140147154161168175182189196203210" displayName="Tabell23542495677849198105112119126140147154161168175182189196203210" ref="A4:F5" totalsRowShown="0" headerRowDxfId="1666" dataDxfId="1665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184F07C-647A-40B6-8C3A-DC4EAF1D9B4D}" name="DAG" dataDxfId="1664">
      <calculatedColumnFormula>PROPER(TEXT(B5, "dddd"))</calculatedColumnFormula>
    </tableColumn>
    <tableColumn id="2" xr3:uid="{8B5E2E5F-C62F-4C00-917D-220E8E8720A5}" name="DATUM" dataDxfId="1663">
      <calculatedColumnFormula>Tisdag31</calculatedColumnFormula>
    </tableColumn>
    <tableColumn id="3" xr3:uid="{748BB0EA-DCCC-43DD-AFB9-44F0D6C1C871}" name="Tid1" dataDxfId="1662"/>
    <tableColumn id="4" xr3:uid="{1DDAE803-8ABB-4635-9D12-0949DAD17DD2}" name="TID" dataDxfId="1661"/>
    <tableColumn id="5" xr3:uid="{19DA25A2-AD39-46F9-88EC-58ACEB205F1B}" name="ANTAL" dataDxfId="1660"/>
    <tableColumn id="6" xr3:uid="{F6EA28F3-47DE-45FF-8244-F1C7FCF59CFA}" name="GRUPP/LAG/SKOLA/ETC." dataDxfId="1659"/>
  </tableColumns>
  <tableStyleInfo name="Hallbokningsschema 2" showFirstColumn="0" showLastColumn="0" showRowStripes="0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93EEC64C-9AFE-47A1-9842-451853EC4A2F}" name="Tabell33643505778859299106113120127141148155162169176183190197204211" displayName="Tabell33643505778859299106113120127141148155162169176183190197204211" ref="A6:F7" totalsRowShown="0" headerRowDxfId="1658" dataDxfId="1657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3AA7AC9-526F-4B7B-862C-58E484F4A838}" name="DAG" dataDxfId="1656">
      <calculatedColumnFormula>PROPER(TEXT(B7, "dddd"))</calculatedColumnFormula>
    </tableColumn>
    <tableColumn id="2" xr3:uid="{F60C663C-BC54-4EC0-A3C7-00D06B89BE5B}" name="DATUM" dataDxfId="1655">
      <calculatedColumnFormula>Onsdag31</calculatedColumnFormula>
    </tableColumn>
    <tableColumn id="3" xr3:uid="{58D85792-84A4-4886-8E30-0DE08D0C6641}" name="Tid1" dataDxfId="1654"/>
    <tableColumn id="4" xr3:uid="{D77FDCEC-6044-4B49-BAB9-1318107BBC0B}" name="TID" dataDxfId="1653"/>
    <tableColumn id="5" xr3:uid="{4333BE55-85B3-4AA8-AB1A-CEFCF73FDA38}" name="ANTAL" dataDxfId="1652"/>
    <tableColumn id="6" xr3:uid="{D8694C91-69D7-4B60-916A-A57ACA7986B2}" name="GRUPP/LAG/SKOLA/ETC." dataDxfId="1651"/>
  </tableColumns>
  <tableStyleInfo name="Hallbokningsschema 2" showFirstColumn="0" showLastColumn="0" showRowStripes="0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9D84D1B3-106E-41BA-ABBF-D8A67A2CFB88}" name="Tabell437445158798693100107114121128142149156163170177184191198205212" displayName="Tabell437445158798693100107114121128142149156163170177184191198205212" ref="A8:F9" totalsRowShown="0" headerRowDxfId="1650" dataDxfId="1649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8C3960E-FE4B-4062-ABAD-4A94DA401030}" name="DAG" dataDxfId="1648">
      <calculatedColumnFormula>PROPER(TEXT(B9, "dddd"))</calculatedColumnFormula>
    </tableColumn>
    <tableColumn id="2" xr3:uid="{F55A48D2-493C-411A-AA1F-DF55088E55C9}" name="DATUM" dataDxfId="1647">
      <calculatedColumnFormula>Torsdag31</calculatedColumnFormula>
    </tableColumn>
    <tableColumn id="3" xr3:uid="{9E27D057-917E-47F7-B750-26CA2E74DDAC}" name="Tid1" dataDxfId="1646"/>
    <tableColumn id="4" xr3:uid="{4E3E5D70-04A5-405D-82D9-E840FFDA6BCB}" name="TID" dataDxfId="1645"/>
    <tableColumn id="5" xr3:uid="{CB03C778-71D7-4BF7-9E18-4EDBEDD34A3E}" name="ANTAL" dataDxfId="1644"/>
    <tableColumn id="6" xr3:uid="{F5E8E161-3FE9-490A-9FBB-9A7AB1D4831D}" name="GRUPP/LAG/SKOLA/ETC." dataDxfId="1643"/>
  </tableColumns>
  <tableStyleInfo name="Hallbokningsschema 2" showFirstColumn="0" showLastColumn="0" showRowStripes="0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548E8CC9-19E8-4386-B3BA-1D6613DD903C}" name="Tabell538455259808794101108115122129143150157164171178185192199206213" displayName="Tabell538455259808794101108115122129143150157164171178185192199206213" ref="A10:F11" totalsRowShown="0" headerRowDxfId="1642" dataDxfId="1641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E0B9B0F-88A5-429E-BC01-001196C1359D}" name="DAG" dataDxfId="1640">
      <calculatedColumnFormula>PROPER(TEXT(B11, "dddd"))</calculatedColumnFormula>
    </tableColumn>
    <tableColumn id="2" xr3:uid="{A480B010-FBDF-4F7B-B2BE-CF101E5573C8}" name="DATUM" dataDxfId="1639">
      <calculatedColumnFormula>Fredag31</calculatedColumnFormula>
    </tableColumn>
    <tableColumn id="3" xr3:uid="{F9B6A5B9-B375-43A6-90AD-221C00A73B18}" name="Tid1" dataDxfId="1638"/>
    <tableColumn id="4" xr3:uid="{F9EA0DAC-A592-45C7-87CF-CB35606CEA37}" name="TID" dataDxfId="1637"/>
    <tableColumn id="5" xr3:uid="{1D3D873E-9C19-40D1-BFB8-CD078ADACD44}" name="ANTAL" dataDxfId="1636"/>
    <tableColumn id="6" xr3:uid="{6F0F4FCF-9BA6-432D-AC9A-EDC22B45E9C4}" name="GRUPP/LAG/SKOLA/ETC." dataDxfId="1635"/>
  </tableColumns>
  <tableStyleInfo name="Hallbokningsschema 2" showFirstColumn="0" showLastColumn="0" showRowStripes="0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1685A81A-FF07-43ED-A549-1C07B478A970}" name="Tabell639465360818895102109116123130144151158165172179186193200207214" displayName="Tabell639465360818895102109116123130144151158165172179186193200207214" ref="A12:F13" totalsRowShown="0" headerRowDxfId="1634" dataDxfId="1633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F081771-784E-4203-A767-4A33DCBC51BF}" name="DAG" dataDxfId="1632">
      <calculatedColumnFormula>PROPER(TEXT(B13, "dddd"))</calculatedColumnFormula>
    </tableColumn>
    <tableColumn id="2" xr3:uid="{DE5F1CEF-465F-4FBB-A502-5E64A0DA550C}" name="DATUM" dataDxfId="1631">
      <calculatedColumnFormula>Lördag31</calculatedColumnFormula>
    </tableColumn>
    <tableColumn id="3" xr3:uid="{79C0DAD2-D522-4535-A14E-00E24449B9CC}" name="Tid1" dataDxfId="1630"/>
    <tableColumn id="4" xr3:uid="{696F8430-DE2C-46A3-A384-D4961293F434}" name="TID" dataDxfId="1629"/>
    <tableColumn id="5" xr3:uid="{B2EA8796-8F2D-4043-8E1E-6A1279F773F0}" name="ANTAL" dataDxfId="1628"/>
    <tableColumn id="6" xr3:uid="{4236C3AB-DC48-4FCC-8CB7-3BEC9614C87D}" name="GRUPP/LAG/SKOLA/ETC." dataDxfId="1627"/>
  </tableColumns>
  <tableStyleInfo name="Hallbokningsschema 2" showFirstColumn="0" showLastColumn="0" showRowStripes="0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D799D5CC-ACB8-4937-B79F-5056E9FF6D28}" name="Tabell740475461828996103110117124131145152159166173180187194201208215" displayName="Tabell740475461828996103110117124131145152159166173180187194201208215" ref="A14:F15" totalsRowShown="0" headerRowDxfId="1626" dataDxfId="1625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36F4AF0-9252-4AEC-A1C3-16067B5E74BE}" name="DAG" dataDxfId="1624">
      <calculatedColumnFormula>PROPER(TEXT(B15, "dddd"))</calculatedColumnFormula>
    </tableColumn>
    <tableColumn id="2" xr3:uid="{D275FBCB-E500-4277-BC8D-0733A8CD5ADC}" name="DATUM" dataDxfId="1623">
      <calculatedColumnFormula>Söndag31</calculatedColumnFormula>
    </tableColumn>
    <tableColumn id="3" xr3:uid="{C395E4F0-1694-4A98-BF6D-1AC7CEF269E0}" name="Tid1" dataDxfId="1622"/>
    <tableColumn id="4" xr3:uid="{21F7E069-CBB9-4256-81A7-CEC163DF19C2}" name="TID" dataDxfId="1621"/>
    <tableColumn id="5" xr3:uid="{C83B67C9-478C-4632-BDFF-C696CBE94123}" name="ANTAL" dataDxfId="1620"/>
    <tableColumn id="6" xr3:uid="{785135E4-6907-4479-9B6C-DE5C79426449}" name="GRUPP/LAG/SKOLA/ETC." dataDxfId="1619"/>
  </tableColumns>
  <tableStyleInfo name="Hallbokningsschema 2" showFirstColumn="0" showLastColumn="0" showRowStripes="0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9A1E0AD6-0E28-43CA-90D7-5344524A06DD}" name="Tabell13441485576839097104111118125139146153160167174181188195" displayName="Tabell13441485576839097104111118125139146153160167174181188195" ref="A2:F4" totalsRowShown="0" headerRowDxfId="1604" dataDxfId="1603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88E36C7-7554-497D-8202-C9C609F39E13}" name="DAG" dataDxfId="1602">
      <calculatedColumnFormula>PROPER(TEXT(B3, "dddd"))</calculatedColumnFormula>
    </tableColumn>
    <tableColumn id="2" xr3:uid="{319715FA-A865-4368-B0F0-E97C204DFD84}" name="DATUM" dataDxfId="1601">
      <calculatedColumnFormula>Måndag32</calculatedColumnFormula>
    </tableColumn>
    <tableColumn id="3" xr3:uid="{550976CC-3B0A-41CE-9127-C81C1958A800}" name="Tid1" dataDxfId="1600"/>
    <tableColumn id="4" xr3:uid="{B274A5D8-E5D6-4871-91A3-525FE06407D9}" name="TID" dataDxfId="1599"/>
    <tableColumn id="5" xr3:uid="{451244AC-97BC-42C8-BCAE-7381830C0013}" name="ANTAL" dataDxfId="1598"/>
    <tableColumn id="6" xr3:uid="{476523D7-D3D1-44AA-AECA-F06F55CE424A}" name="GRUPP/LAG/SKOLA/ETC." dataDxfId="1597"/>
  </tableColumns>
  <tableStyleInfo name="Hallbokningsschema 2" showFirstColumn="0" showLastColumn="0" showRowStripes="0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002B5663-7161-434F-9E6B-3CFA9EB73617}" name="Tabell23542495677849198105112119126140147154161168175182189196" displayName="Tabell23542495677849198105112119126140147154161168175182189196" ref="A5:F9" totalsRowShown="0" headerRowDxfId="1596" dataDxfId="1595">
  <autoFilter ref="A5:F9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1F4A73C-87BB-4D7F-B6D4-7D7D933DA0F0}" name="DAG" dataDxfId="1594">
      <calculatedColumnFormula>PROPER(TEXT(B6, "dddd"))</calculatedColumnFormula>
    </tableColumn>
    <tableColumn id="2" xr3:uid="{2CD0F864-B171-4290-9201-65B89A01EA0E}" name="DATUM" dataDxfId="1593">
      <calculatedColumnFormula>Tisdag32</calculatedColumnFormula>
    </tableColumn>
    <tableColumn id="3" xr3:uid="{F9E6B35D-3F27-41F0-922E-2A49BDA68D5D}" name="Tid1" dataDxfId="1592"/>
    <tableColumn id="4" xr3:uid="{69E97137-478C-4718-B94C-3C25E2FC8F4F}" name="TID" dataDxfId="1591"/>
    <tableColumn id="5" xr3:uid="{C5AFD524-3493-4325-9834-B71BEEB81F1D}" name="ANTAL" dataDxfId="1590"/>
    <tableColumn id="6" xr3:uid="{B8EA706D-64B6-4BEA-BFFA-94CB483EB51F}" name="GRUPP/LAG/SKOLA/ETC." dataDxfId="1589"/>
  </tableColumns>
  <tableStyleInfo name="Hallbokningsschema 2" showFirstColumn="0" showLastColumn="0" showRowStripes="0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367C1413-DBA6-429A-877E-BD1306E7498E}" name="Tabell33643505778859299106113120127141148155162169176183190197" displayName="Tabell33643505778859299106113120127141148155162169176183190197" ref="A10:F11" totalsRowShown="0" headerRowDxfId="1588" dataDxfId="1587">
  <autoFilter ref="A10:F11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8A9B6C9-8D10-40EA-9887-17977BB5C837}" name="DAG" dataDxfId="1586">
      <calculatedColumnFormula>PROPER(TEXT(B11, "dddd"))</calculatedColumnFormula>
    </tableColumn>
    <tableColumn id="2" xr3:uid="{21657F98-77B7-45C1-A163-49C8DCDA9D0F}" name="DATUM" dataDxfId="1585">
      <calculatedColumnFormula>Onsdag32</calculatedColumnFormula>
    </tableColumn>
    <tableColumn id="3" xr3:uid="{9F4113FA-553A-4640-9DED-3525AF1545C7}" name="Tid1" dataDxfId="1584"/>
    <tableColumn id="4" xr3:uid="{EDFC5491-ECAC-4964-9FAE-A4B734884C3A}" name="TID" dataDxfId="1583"/>
    <tableColumn id="5" xr3:uid="{AEE84B69-CA20-4B61-9065-89D86A93E764}" name="ANTAL" dataDxfId="1582"/>
    <tableColumn id="6" xr3:uid="{D972E3E9-EF12-45D3-ABB6-D64AC7A7263E}" name="GRUPP/LAG/SKOLA/ETC." dataDxfId="1581"/>
  </tableColumns>
  <tableStyleInfo name="Hallbokningsschema 2" showFirstColumn="0" showLastColumn="0" showRowStripes="0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3992405A-3E98-4408-AC5B-601F9418467C}" name="Tabell437445158798693100107114121128142149156163170177184191198" displayName="Tabell437445158798693100107114121128142149156163170177184191198" ref="A12:F13" totalsRowShown="0" headerRowDxfId="1580" dataDxfId="1579">
  <autoFilter ref="A12:F13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7B3A76E-30B2-46E8-83B2-DE647408D688}" name="DAG" dataDxfId="1578">
      <calculatedColumnFormula>PROPER(TEXT(B13, "dddd"))</calculatedColumnFormula>
    </tableColumn>
    <tableColumn id="2" xr3:uid="{CE2CAEAD-BCAE-45AB-BAA5-3C04315B92E7}" name="DATUM" dataDxfId="1577">
      <calculatedColumnFormula>Torsdag32</calculatedColumnFormula>
    </tableColumn>
    <tableColumn id="3" xr3:uid="{1376393A-0537-40FE-A90D-9A952E9B97CC}" name="Tid1" dataDxfId="1576"/>
    <tableColumn id="4" xr3:uid="{5116ED56-5B0E-41C7-B97E-CAEA0F9500DC}" name="TID" dataDxfId="1575"/>
    <tableColumn id="5" xr3:uid="{7D8F153D-544B-4E68-9A3F-E99C58B22F03}" name="ANTAL" dataDxfId="1574"/>
    <tableColumn id="6" xr3:uid="{C924D988-9281-4557-BBFE-ADC21F941E54}" name="GRUPP/LAG/SKOLA/ETC." dataDxfId="1573"/>
  </tableColumns>
  <tableStyleInfo name="Hallbokningsschema 2" showFirstColumn="0" showLastColumn="0" showRowStripes="0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DAF027C2-0E68-4478-9679-9750445EF4FE}" name="Tabell538455259808794101108115122129143150157164171178185192199" displayName="Tabell538455259808794101108115122129143150157164171178185192199" ref="A14:F15" totalsRowShown="0" headerRowDxfId="1572" dataDxfId="1571">
  <autoFilter ref="A14:F15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6BFB753-BA90-4A78-AB81-4542570F5BC0}" name="DAG" dataDxfId="1570">
      <calculatedColumnFormula>PROPER(TEXT(B15, "dddd"))</calculatedColumnFormula>
    </tableColumn>
    <tableColumn id="2" xr3:uid="{3E148639-04F8-4988-8635-157FE6E9F003}" name="DATUM" dataDxfId="1569">
      <calculatedColumnFormula>Fredag32</calculatedColumnFormula>
    </tableColumn>
    <tableColumn id="3" xr3:uid="{CB24B496-880F-4C13-AAB1-9280C9C68BE4}" name="Tid1" dataDxfId="1568"/>
    <tableColumn id="4" xr3:uid="{0625C837-C727-4D02-B140-DF587E7C4B94}" name="TID" dataDxfId="1567"/>
    <tableColumn id="5" xr3:uid="{E6CACC1F-6AB8-431C-8BDA-BB5E90D07F9B}" name="ANTAL" dataDxfId="1566"/>
    <tableColumn id="6" xr3:uid="{513F4FF4-566D-4E2E-A83C-06C65ED6A8B4}" name="GRUPP/LAG/SKOLA/ETC." dataDxfId="1565"/>
  </tableColumns>
  <tableStyleInfo name="Hallbokningsschema 2" showFirstColumn="0" showLastColumn="0" showRowStripes="0" showColumnStripes="0"/>
</table>
</file>

<file path=xl/tables/table2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B4D0BCEF-7F74-43EE-BEA9-7411CC7A4C93}" name="Tabell639465360818895102109116123130144151158165172179186193200" displayName="Tabell639465360818895102109116123130144151158165172179186193200" ref="A16:F17" totalsRowShown="0" headerRowDxfId="1564" dataDxfId="1563">
  <autoFilter ref="A16:F17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11B7C23-3E9D-48D7-8453-2C528B2E1C71}" name="DAG" dataDxfId="1562">
      <calculatedColumnFormula>PROPER(TEXT(B17, "dddd"))</calculatedColumnFormula>
    </tableColumn>
    <tableColumn id="2" xr3:uid="{F86DB68B-B7D3-4537-81C1-5B9377A0A061}" name="DATUM" dataDxfId="1561">
      <calculatedColumnFormula>Lördag32</calculatedColumnFormula>
    </tableColumn>
    <tableColumn id="3" xr3:uid="{EE26428F-FF50-42AB-9886-57782515DEE6}" name="Tid1" dataDxfId="1560"/>
    <tableColumn id="4" xr3:uid="{DC5082E9-B342-4D44-91C5-DB66BE6A9575}" name="TID" dataDxfId="1559"/>
    <tableColumn id="5" xr3:uid="{BB26ECBF-AB0B-4715-8F44-1C31162571D8}" name="ANTAL" dataDxfId="1558"/>
    <tableColumn id="6" xr3:uid="{97A130C5-302D-4341-9D7B-0DAA9D9C6117}" name="GRUPP/LAG/SKOLA/ETC." dataDxfId="1557"/>
  </tableColumns>
  <tableStyleInfo name="Hallbokningsschema 2" showFirstColumn="0" showLastColumn="0" showRowStripes="0" showColumnStripes="0"/>
</table>
</file>

<file path=xl/tables/table2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392051CC-B67F-4024-824F-E6BD6B530913}" name="Tabell740475461828996103110117124131145152159166173180187194201" displayName="Tabell740475461828996103110117124131145152159166173180187194201" ref="A18:F19" totalsRowShown="0" headerRowDxfId="1556" dataDxfId="1555">
  <autoFilter ref="A18:F19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7E98873-9FB7-41F6-9E03-8D4B68EBDAD4}" name="DAG" dataDxfId="1554">
      <calculatedColumnFormula>PROPER(TEXT(B19, "dddd"))</calculatedColumnFormula>
    </tableColumn>
    <tableColumn id="2" xr3:uid="{4370735F-63DD-494A-95B6-52B87892C345}" name="DATUM" dataDxfId="1553">
      <calculatedColumnFormula>Söndag32</calculatedColumnFormula>
    </tableColumn>
    <tableColumn id="3" xr3:uid="{DC7D64BE-4E56-4E87-B315-B8C62B79B0AB}" name="Tid1" dataDxfId="1552"/>
    <tableColumn id="4" xr3:uid="{0823CE99-E414-46CC-B85E-75A90070F06A}" name="TID" dataDxfId="1551"/>
    <tableColumn id="5" xr3:uid="{D59B4F63-A297-4728-929A-9DE52B5BC6B4}" name="ANTAL" dataDxfId="1550"/>
    <tableColumn id="6" xr3:uid="{CD4B15D1-36B2-41FC-B1EE-76E81BDDCE0F}" name="GRUPP/LAG/SKOLA/ETC." dataDxfId="1549"/>
  </tableColumns>
  <tableStyleInfo name="Hallbokningsschema 2" showFirstColumn="0" showLastColumn="0" showRowStripes="0" showColumnStripes="0"/>
</table>
</file>

<file path=xl/tables/table2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6F7286CE-C650-4092-BBBD-6B71514FDB6D}" name="Tabell13441485576839097104111118125139146153160167174181188" displayName="Tabell13441485576839097104111118125139146153160167174181188" ref="A2:F3" totalsRowShown="0" headerRowDxfId="1534" dataDxfId="1533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D8B4E7A-92AD-4298-96C2-CD6ACEA73973}" name="DAG" dataDxfId="1532">
      <calculatedColumnFormula>PROPER(TEXT(B3, "dddd"))</calculatedColumnFormula>
    </tableColumn>
    <tableColumn id="2" xr3:uid="{7C864380-6E0B-481C-B5E4-D03704EFAA5F}" name="DATUM" dataDxfId="1531">
      <calculatedColumnFormula>Måndag33</calculatedColumnFormula>
    </tableColumn>
    <tableColumn id="3" xr3:uid="{02968BA7-3E5C-4691-B650-0AC64181C1C4}" name="Tid1" dataDxfId="1530"/>
    <tableColumn id="4" xr3:uid="{0EB05A69-041E-492F-A5A2-24760B44420B}" name="TID" dataDxfId="1529"/>
    <tableColumn id="5" xr3:uid="{F69C9F76-BF63-4A2B-81CA-470312593583}" name="ANTAL" dataDxfId="1528"/>
    <tableColumn id="6" xr3:uid="{D66D97F0-0DBC-40B7-B850-7642F9661B18}" name="GRUPP/LAG/SKOLA/ETC." dataDxfId="1527"/>
  </tableColumns>
  <tableStyleInfo name="Hallbokningsschema 2" showFirstColumn="0" showLastColumn="0" showRowStripes="0" showColumnStripes="0"/>
</table>
</file>

<file path=xl/tables/table2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1990250E-4C69-4AE0-8325-EA5669649C23}" name="Tabell23542495677849198105112119126140147154161168175182189" displayName="Tabell23542495677849198105112119126140147154161168175182189" ref="A4:F5" totalsRowShown="0" headerRowDxfId="1526" dataDxfId="1525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74C428A-5C32-4CF3-8BCF-2E8B871EAA1A}" name="DAG" dataDxfId="1524">
      <calculatedColumnFormula>PROPER(TEXT(B5, "dddd"))</calculatedColumnFormula>
    </tableColumn>
    <tableColumn id="2" xr3:uid="{58B1660F-1E9E-4BEA-896B-0E3D349D271F}" name="DATUM" dataDxfId="1523">
      <calculatedColumnFormula>Tisdag33</calculatedColumnFormula>
    </tableColumn>
    <tableColumn id="3" xr3:uid="{4D7DB186-0AC1-486B-8976-621D65F2D348}" name="Tid1" dataDxfId="1522"/>
    <tableColumn id="4" xr3:uid="{2FEADE04-06A4-4870-866B-CB8A86224567}" name="TID" dataDxfId="1521"/>
    <tableColumn id="5" xr3:uid="{ACC30F40-C18D-4D92-A83A-E178758470B6}" name="ANTAL" dataDxfId="1520"/>
    <tableColumn id="6" xr3:uid="{1BE5BE73-06D1-4D54-BCC7-B8A4A5FDEC41}" name="GRUPP/LAG/SKOLA/ETC." dataDxfId="1519"/>
  </tableColumns>
  <tableStyleInfo name="Hallbokningsschema 2" showFirstColumn="0" showLastColumn="0" showRowStripes="0" showColumnStripes="0"/>
</table>
</file>

<file path=xl/tables/table2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FD92BBAB-F704-4501-A64B-B32783FD7A12}" name="Tabell33643505778859299106113120127141148155162169176183190" displayName="Tabell33643505778859299106113120127141148155162169176183190" ref="A6:F7" totalsRowShown="0" headerRowDxfId="1518" dataDxfId="1517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CE1678D-C2F5-4B3D-A4BB-3F9022A2EB10}" name="DAG" dataDxfId="1516">
      <calculatedColumnFormula>PROPER(TEXT(B7, "dddd"))</calculatedColumnFormula>
    </tableColumn>
    <tableColumn id="2" xr3:uid="{100A63AF-A074-4DE0-84F5-34E7856DA987}" name="DATUM" dataDxfId="1515">
      <calculatedColumnFormula>Onsdag33</calculatedColumnFormula>
    </tableColumn>
    <tableColumn id="3" xr3:uid="{93588E97-9F20-42D6-812A-880E40C479C1}" name="Tid1" dataDxfId="1514"/>
    <tableColumn id="4" xr3:uid="{5DD70A09-3002-4994-BF38-5F0B58F8C5A5}" name="TID" dataDxfId="1513"/>
    <tableColumn id="5" xr3:uid="{8CD4E8EE-F37E-44B6-B129-7110A730A7EC}" name="ANTAL" dataDxfId="1512"/>
    <tableColumn id="6" xr3:uid="{AABB8F15-5EC4-4DEC-AC25-0CAA2D39B7A5}" name="GRUPP/LAG/SKOLA/ETC." dataDxfId="1511"/>
  </tableColumns>
  <tableStyleInfo name="Hallbokningsschema 2" showFirstColumn="0" showLastColumn="0" showRowStripes="0" showColumnStripes="0"/>
</table>
</file>

<file path=xl/tables/table2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D2CE5201-DDBD-47B6-8068-D5A1C544AC88}" name="Tabell437445158798693100107114121128142149156163170177184191" displayName="Tabell437445158798693100107114121128142149156163170177184191" ref="A8:F9" totalsRowShown="0" headerRowDxfId="1510" dataDxfId="1509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E5C4149-8BF3-42A3-87E2-07BBC1CA5610}" name="DAG" dataDxfId="1508">
      <calculatedColumnFormula>PROPER(TEXT(B9, "dddd"))</calculatedColumnFormula>
    </tableColumn>
    <tableColumn id="2" xr3:uid="{16949B94-8C84-486C-A367-060454E647D9}" name="DATUM" dataDxfId="1507">
      <calculatedColumnFormula>Torsdag33</calculatedColumnFormula>
    </tableColumn>
    <tableColumn id="3" xr3:uid="{B768C6EE-D473-4EFA-B75C-1F89AE00A3D9}" name="Tid1" dataDxfId="1506"/>
    <tableColumn id="4" xr3:uid="{FE551F62-DC51-42A5-AB53-036FC37BDA8F}" name="TID" dataDxfId="1505"/>
    <tableColumn id="5" xr3:uid="{F9C1A1A6-97AE-46AA-AB94-E2CAE02D2AED}" name="ANTAL" dataDxfId="1504"/>
    <tableColumn id="6" xr3:uid="{78A7C0CE-4F19-4AA2-8FAB-40142A64AB00}" name="GRUPP/LAG/SKOLA/ETC." dataDxfId="1503"/>
  </tableColumns>
  <tableStyleInfo name="Hallbokningsschema 2" showFirstColumn="0" showLastColumn="0" showRowStripes="0" showColumnStripes="0"/>
</table>
</file>

<file path=xl/tables/table2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DD5B8E53-5D1F-4218-8215-4B8ECEA66C0B}" name="Tabell538455259808794101108115122129143150157164171178185192" displayName="Tabell538455259808794101108115122129143150157164171178185192" ref="A10:F11" totalsRowShown="0" headerRowDxfId="1502" dataDxfId="1501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6CFED4F-803F-41DF-B3E6-E62FCE711B6A}" name="DAG" dataDxfId="1500">
      <calculatedColumnFormula>PROPER(TEXT(B11, "dddd"))</calculatedColumnFormula>
    </tableColumn>
    <tableColumn id="2" xr3:uid="{ABE13834-89D6-4A05-B38E-8678D6511C87}" name="DATUM" dataDxfId="1499">
      <calculatedColumnFormula>Fredag33</calculatedColumnFormula>
    </tableColumn>
    <tableColumn id="3" xr3:uid="{7FFB3061-F14D-4251-BAF3-9B36D65ABEAD}" name="Tid1" dataDxfId="1498"/>
    <tableColumn id="4" xr3:uid="{41C7AAA7-A051-4B0D-A3DB-0EA21478DA2C}" name="TID" dataDxfId="1497"/>
    <tableColumn id="5" xr3:uid="{243CD999-5FAA-4057-8C5A-D389D2C9A836}" name="ANTAL" dataDxfId="1496"/>
    <tableColumn id="6" xr3:uid="{823AE4D4-6F9A-4237-B611-2797F9D08E95}" name="GRUPP/LAG/SKOLA/ETC." dataDxfId="1495"/>
  </tableColumns>
  <tableStyleInfo name="Hallbokningsschema 2" showFirstColumn="0" showLastColumn="0" showRowStripes="0" showColumnStripes="0"/>
</table>
</file>

<file path=xl/tables/table2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17ACD4FB-D0D8-4D6C-9595-2745C45BCA4A}" name="Tabell639465360818895102109116123130144151158165172179186193" displayName="Tabell639465360818895102109116123130144151158165172179186193" ref="A12:F13" totalsRowShown="0" headerRowDxfId="1494" dataDxfId="1493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295C686-4BB9-4D88-B040-078BF86A7E7E}" name="DAG" dataDxfId="1492">
      <calculatedColumnFormula>PROPER(TEXT(B13, "dddd"))</calculatedColumnFormula>
    </tableColumn>
    <tableColumn id="2" xr3:uid="{4AB0B381-5CE4-4F74-8E95-53DFAA38825A}" name="DATUM" dataDxfId="1491">
      <calculatedColumnFormula>Lördag33</calculatedColumnFormula>
    </tableColumn>
    <tableColumn id="3" xr3:uid="{6DDE5566-03A8-432A-91EB-E5509C99C369}" name="Tid1" dataDxfId="1490"/>
    <tableColumn id="4" xr3:uid="{5CDEB524-C588-4B85-B770-D2833E4E4A5E}" name="TID" dataDxfId="1489"/>
    <tableColumn id="5" xr3:uid="{06B36F3A-9B31-41C7-B7CD-C5CD3937CFE9}" name="ANTAL" dataDxfId="1488"/>
    <tableColumn id="6" xr3:uid="{79D12AD2-CE24-4373-AF13-371930A077E4}" name="GRUPP/LAG/SKOLA/ETC." dataDxfId="1487"/>
  </tableColumns>
  <tableStyleInfo name="Hallbokningsschema 2" showFirstColumn="0" showLastColumn="0" showRowStripes="0" showColumnStripes="0"/>
</table>
</file>

<file path=xl/tables/table2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F867885B-28DF-4C4D-9EFE-F39812256C74}" name="Tabell740475461828996103110117124131145152159166173180187194" displayName="Tabell740475461828996103110117124131145152159166173180187194" ref="A14:F15" totalsRowShown="0" headerRowDxfId="1486" dataDxfId="1485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C034600-5B1B-4DD5-9865-15B427B7AAA6}" name="DAG" dataDxfId="1484">
      <calculatedColumnFormula>PROPER(TEXT(B15, "dddd"))</calculatedColumnFormula>
    </tableColumn>
    <tableColumn id="2" xr3:uid="{58C3A434-6679-4674-90F9-DB2F369230B7}" name="DATUM" dataDxfId="1483">
      <calculatedColumnFormula>Söndag33</calculatedColumnFormula>
    </tableColumn>
    <tableColumn id="3" xr3:uid="{060D976C-4AC6-4B79-8307-86F3DA74C222}" name="Tid1" dataDxfId="1482"/>
    <tableColumn id="4" xr3:uid="{47A97656-7F0F-4F1D-A0F9-912F4E30FB51}" name="TID" dataDxfId="1481"/>
    <tableColumn id="5" xr3:uid="{05AF9AEF-6626-463D-B110-9C63DDB9A6B6}" name="ANTAL" dataDxfId="1480"/>
    <tableColumn id="6" xr3:uid="{EF34333F-B532-4D36-9B95-7B49A8A3B9D0}" name="GRUPP/LAG/SKOLA/ETC." dataDxfId="1479"/>
  </tableColumns>
  <tableStyleInfo name="Hallbokningsschema 2" showFirstColumn="0" showLastColumn="0" showRowStripes="0" showColumnStripes="0"/>
</table>
</file>

<file path=xl/tables/table2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A7ABEB99-F209-42C9-804D-A3A236FBB396}" name="Tabell13441485576839097104111118125139146153160167174181" displayName="Tabell13441485576839097104111118125139146153160167174181" ref="A2:F3" totalsRowShown="0" headerRowDxfId="1464" dataDxfId="1463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07F4AD3-D9FD-47C5-A054-B5970CA92887}" name="DAG" dataDxfId="1462">
      <calculatedColumnFormula>PROPER(TEXT(B3, "dddd"))</calculatedColumnFormula>
    </tableColumn>
    <tableColumn id="2" xr3:uid="{ADEFD608-E488-486C-B5F5-BD111F756850}" name="DATUM" dataDxfId="1461">
      <calculatedColumnFormula>Måndag34</calculatedColumnFormula>
    </tableColumn>
    <tableColumn id="3" xr3:uid="{0B60FF1B-5053-46F5-A0B8-43EEB41473D9}" name="Tid1" dataDxfId="1460"/>
    <tableColumn id="4" xr3:uid="{B8AFB1E7-3030-420F-B9EB-202A5DC0676F}" name="TID" dataDxfId="1459"/>
    <tableColumn id="5" xr3:uid="{E3AE73C4-3BDC-467F-AC46-A306D479CEA3}" name="ANTAL" dataDxfId="1458"/>
    <tableColumn id="6" xr3:uid="{A26363B3-91DA-483E-BD63-33C8AFA72374}" name="GRUPP/LAG/SKOLA/ETC." dataDxfId="1457"/>
  </tableColumns>
  <tableStyleInfo name="Hallbokningsschema 2" showFirstColumn="0" showLastColumn="0" showRowStripes="0" showColumnStripes="0"/>
</table>
</file>

<file path=xl/tables/table2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D90F95CE-07AD-41DB-9FDA-AAC60948E66F}" name="Tabell23542495677849198105112119126140147154161168175182" displayName="Tabell23542495677849198105112119126140147154161168175182" ref="A4:F6" totalsRowShown="0" headerRowDxfId="1456" dataDxfId="1455">
  <autoFilter ref="A4:F6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324A6D4-C539-4D20-88F3-C3A1C2817AF9}" name="DAG" dataDxfId="1454">
      <calculatedColumnFormula>PROPER(TEXT(B5, "dddd"))</calculatedColumnFormula>
    </tableColumn>
    <tableColumn id="2" xr3:uid="{9533CC2F-A5A2-4310-BB67-1F4606788916}" name="DATUM" dataDxfId="1453">
      <calculatedColumnFormula>Tisdag34</calculatedColumnFormula>
    </tableColumn>
    <tableColumn id="3" xr3:uid="{BB254B3F-D803-4B01-99A3-5075C996DD20}" name="Tid1" dataDxfId="1452"/>
    <tableColumn id="4" xr3:uid="{839F7AED-A21E-4575-AA51-7D2EB75DFD99}" name="TID" dataDxfId="1451"/>
    <tableColumn id="5" xr3:uid="{86C1EC34-D84A-4456-8E32-74F245BF3013}" name="ANTAL" dataDxfId="1450"/>
    <tableColumn id="6" xr3:uid="{025B34BD-23DD-43AE-87FA-D2D93448ED80}" name="GRUPP/LAG/SKOLA/ETC." dataDxfId="1449"/>
  </tableColumns>
  <tableStyleInfo name="Hallbokningsschema 2" showFirstColumn="0" showLastColumn="0" showRowStripes="0" showColumnStripes="0"/>
</table>
</file>

<file path=xl/tables/table2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CEE5F51C-F198-4D46-8214-B36FDE767932}" name="Tabell33643505778859299106113120127141148155162169176183" displayName="Tabell33643505778859299106113120127141148155162169176183" ref="A7:F8" totalsRowShown="0" headerRowDxfId="1448" dataDxfId="1447">
  <autoFilter ref="A7:F8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F2217F6-6BFA-4014-B719-2868E6EFF14B}" name="DAG" dataDxfId="1446">
      <calculatedColumnFormula>PROPER(TEXT(B8, "dddd"))</calculatedColumnFormula>
    </tableColumn>
    <tableColumn id="2" xr3:uid="{B34C00CC-4B9F-4F3E-A572-700BC8431BD7}" name="DATUM" dataDxfId="1445">
      <calculatedColumnFormula>Onsdag34</calculatedColumnFormula>
    </tableColumn>
    <tableColumn id="3" xr3:uid="{4D6A3CC9-F3E1-476B-B1DF-B99D1087E141}" name="Tid1" dataDxfId="1444"/>
    <tableColumn id="4" xr3:uid="{CEFD870B-1A72-4EDD-A497-D06C5083F720}" name="TID" dataDxfId="1443"/>
    <tableColumn id="5" xr3:uid="{DDFD729B-C374-458E-83EA-F2622307C5E0}" name="ANTAL" dataDxfId="1442"/>
    <tableColumn id="6" xr3:uid="{28A610E6-57DC-453B-B786-2E193DEBF19C}" name="GRUPP/LAG/SKOLA/ETC." dataDxfId="1441"/>
  </tableColumns>
  <tableStyleInfo name="Hallbokningsschema 2" showFirstColumn="0" showLastColumn="0" showRowStripes="0" showColumnStripes="0"/>
</table>
</file>

<file path=xl/tables/table2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AA214B50-0CBB-476A-B7BB-C49EB6D175BD}" name="Tabell437445158798693100107114121128142149156163170177184" displayName="Tabell437445158798693100107114121128142149156163170177184" ref="A9:F10" totalsRowShown="0" headerRowDxfId="1440" dataDxfId="1439">
  <autoFilter ref="A9:F10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B46AED5-EDF3-4DC8-96C5-78B9DF3039A0}" name="DAG" dataDxfId="1438">
      <calculatedColumnFormula>PROPER(TEXT(B10, "dddd"))</calculatedColumnFormula>
    </tableColumn>
    <tableColumn id="2" xr3:uid="{4C9B9C1A-DEDB-445F-BAE3-291DF9F372C9}" name="DATUM" dataDxfId="1437">
      <calculatedColumnFormula>Torsdag34</calculatedColumnFormula>
    </tableColumn>
    <tableColumn id="3" xr3:uid="{9852BAB9-07C0-43B7-9569-EBA3AF577860}" name="Tid1" dataDxfId="1436"/>
    <tableColumn id="4" xr3:uid="{F8644C22-AE92-4455-8C86-E778B3A557E2}" name="TID" dataDxfId="1435"/>
    <tableColumn id="5" xr3:uid="{A88565D8-DC61-4693-9014-DDEF49A252CB}" name="ANTAL" dataDxfId="1434"/>
    <tableColumn id="6" xr3:uid="{EF9BA9DF-6C52-4A87-8BEE-30F8CC7AF7CF}" name="GRUPP/LAG/SKOLA/ETC." dataDxfId="1433"/>
  </tableColumns>
  <tableStyleInfo name="Hallbokningsschema 2" showFirstColumn="0" showLastColumn="0" showRowStripes="0" showColumnStripes="0"/>
</table>
</file>

<file path=xl/tables/table2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018A5F74-C63A-4466-81A7-25512A7D9783}" name="Tabell538455259808794101108115122129143150157164171178185" displayName="Tabell538455259808794101108115122129143150157164171178185" ref="A11:F12" totalsRowShown="0" headerRowDxfId="1432" dataDxfId="1431">
  <autoFilter ref="A11:F12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65487FE-6095-4D86-9AA8-B1266975F58B}" name="DAG" dataDxfId="1430">
      <calculatedColumnFormula>PROPER(TEXT(B12, "dddd"))</calculatedColumnFormula>
    </tableColumn>
    <tableColumn id="2" xr3:uid="{DE3E5212-A9A4-48E8-8430-01281C07E758}" name="DATUM" dataDxfId="1429">
      <calculatedColumnFormula>Fredag34</calculatedColumnFormula>
    </tableColumn>
    <tableColumn id="3" xr3:uid="{E770A176-9F70-4B11-B860-B3156721D1CF}" name="Tid1" dataDxfId="1428"/>
    <tableColumn id="4" xr3:uid="{9221F45A-00D5-4763-B155-BFFBBCC1D88F}" name="TID" dataDxfId="1427"/>
    <tableColumn id="5" xr3:uid="{00561444-90A6-43C1-9764-EB91BFA80E49}" name="ANTAL" dataDxfId="1426"/>
    <tableColumn id="6" xr3:uid="{74558F73-5459-4346-9F6F-E7BB24F327ED}" name="GRUPP/LAG/SKOLA/ETC." dataDxfId="1425"/>
  </tableColumns>
  <tableStyleInfo name="Hallbokningsschema 2" showFirstColumn="0" showLastColumn="0" showRowStripes="0" showColumnStripes="0"/>
</table>
</file>

<file path=xl/tables/table2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3CC3D4D2-5B32-416B-88AE-58BE58E95D7F}" name="Tabell639465360818895102109116123130144151158165172179186" displayName="Tabell639465360818895102109116123130144151158165172179186" ref="A13:F14" totalsRowShown="0" headerRowDxfId="1424" dataDxfId="1423">
  <autoFilter ref="A13:F14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690F417-AFB5-4A95-AC11-B7BB863ABEBB}" name="DAG" dataDxfId="1422">
      <calculatedColumnFormula>PROPER(TEXT(B14, "dddd"))</calculatedColumnFormula>
    </tableColumn>
    <tableColumn id="2" xr3:uid="{5D566CB7-F9B9-4326-9EFA-C41F4CE9776F}" name="DATUM" dataDxfId="1421">
      <calculatedColumnFormula>Lördag34</calculatedColumnFormula>
    </tableColumn>
    <tableColumn id="3" xr3:uid="{A9ED9F74-038C-49DC-A0DB-AF92857BD96C}" name="Tid1" dataDxfId="1420"/>
    <tableColumn id="4" xr3:uid="{1BE2267E-8C62-41A8-ABE9-B565F232E1F2}" name="TID" dataDxfId="1419"/>
    <tableColumn id="5" xr3:uid="{74DDBB60-6FF1-4825-9C8C-1AA09F01342A}" name="ANTAL" dataDxfId="1418"/>
    <tableColumn id="6" xr3:uid="{8DD2B7B3-2666-4108-AB66-3A20E29C360D}" name="GRUPP/LAG/SKOLA/ETC." dataDxfId="1417"/>
  </tableColumns>
  <tableStyleInfo name="Hallbokningsschema 2" showFirstColumn="0" showLastColumn="0" showRowStripes="0" showColumnStripes="0"/>
</table>
</file>

<file path=xl/tables/table2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0AFB1C2D-B346-4264-A00B-0EEDD4854BBB}" name="Tabell740475461828996103110117124131145152159166173180187" displayName="Tabell740475461828996103110117124131145152159166173180187" ref="A15:F16" totalsRowShown="0" headerRowDxfId="1416" dataDxfId="1415">
  <autoFilter ref="A15:F16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1FEE702-2670-4F6B-9AFE-4DF1DC5563CF}" name="DAG" dataDxfId="1414">
      <calculatedColumnFormula>PROPER(TEXT(B16, "dddd"))</calculatedColumnFormula>
    </tableColumn>
    <tableColumn id="2" xr3:uid="{E2B2D410-8864-4A3B-82B1-4EA0DCFF85F5}" name="DATUM" dataDxfId="1413">
      <calculatedColumnFormula>Söndag34</calculatedColumnFormula>
    </tableColumn>
    <tableColumn id="3" xr3:uid="{9AA454CE-40F9-454F-A7C7-5F4BF547D3F6}" name="Tid1" dataDxfId="1412"/>
    <tableColumn id="4" xr3:uid="{6B7B4484-6E43-43BA-814D-F4CA297B4C35}" name="TID" dataDxfId="1411"/>
    <tableColumn id="5" xr3:uid="{5367100B-EE32-47CE-8555-6E38495C6768}" name="ANTAL" dataDxfId="1410"/>
    <tableColumn id="6" xr3:uid="{F8A272DD-2025-4D0D-97C1-386E0DDE3D13}" name="GRUPP/LAG/SKOLA/ETC." dataDxfId="1409"/>
  </tableColumns>
  <tableStyleInfo name="Hallbokningsschema 2" showFirstColumn="0" showLastColumn="0" showRowStripes="0" showColumnStripes="0"/>
</table>
</file>

<file path=xl/tables/table2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64CF6C8A-9A63-484A-9A4A-E1A3E7E56D39}" name="Tabell13441485576839097104111118125139146153160167174" displayName="Tabell13441485576839097104111118125139146153160167174" ref="A2:F3" totalsRowShown="0" headerRowDxfId="1394" dataDxfId="1393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8C46623-BB0D-490D-90C5-77547539B1D3}" name="DAG" dataDxfId="1392">
      <calculatedColumnFormula>PROPER(TEXT(B3, "dddd"))</calculatedColumnFormula>
    </tableColumn>
    <tableColumn id="2" xr3:uid="{DC6580DD-B79A-44F5-8594-7B4B9C83F2FA}" name="DATUM" dataDxfId="1391">
      <calculatedColumnFormula>Måndag35</calculatedColumnFormula>
    </tableColumn>
    <tableColumn id="3" xr3:uid="{2D0274C8-CBC4-40FA-9D0E-7EB782185501}" name="Tid1" dataDxfId="1390"/>
    <tableColumn id="4" xr3:uid="{C8FF4E19-44FB-4EA0-8F5E-641FA4D1947D}" name="TID" dataDxfId="1389"/>
    <tableColumn id="5" xr3:uid="{DD9FA3C0-78A8-4208-A7D8-489C0C8F84C5}" name="ANTAL" dataDxfId="1388"/>
    <tableColumn id="6" xr3:uid="{EFEE8D11-295A-4A07-8DCC-6E5D3880A348}" name="GRUPP/LAG/SKOLA/ETC." dataDxfId="1387"/>
  </tableColumns>
  <tableStyleInfo name="Hallbokningsschema 2" showFirstColumn="0" showLastColumn="0" showRowStripes="0" showColumnStripes="0"/>
</table>
</file>

<file path=xl/tables/table2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9EBC9AB6-8066-4546-96E7-135058B795BA}" name="Tabell23542495677849198105112119126140147154161168175" displayName="Tabell23542495677849198105112119126140147154161168175" ref="A4:F6" totalsRowShown="0" headerRowDxfId="1386" dataDxfId="1385">
  <autoFilter ref="A4:F6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85B71C4-334E-4024-9B48-E3C50E6FB9EA}" name="DAG" dataDxfId="1384">
      <calculatedColumnFormula>PROPER(TEXT(B5, "dddd"))</calculatedColumnFormula>
    </tableColumn>
    <tableColumn id="2" xr3:uid="{62FF8410-D46B-4F67-962A-675AF473F9CC}" name="DATUM" dataDxfId="1383">
      <calculatedColumnFormula>Tisdag35</calculatedColumnFormula>
    </tableColumn>
    <tableColumn id="3" xr3:uid="{4A75BAC6-B58E-45B8-89A3-3092D204305C}" name="Tid1" dataDxfId="1382"/>
    <tableColumn id="4" xr3:uid="{3526B9E5-BFEC-4390-AEC5-11C95E5C9231}" name="TID" dataDxfId="1381"/>
    <tableColumn id="5" xr3:uid="{19E1C9E0-6238-4811-A1F9-3292C921636C}" name="ANTAL" dataDxfId="1380"/>
    <tableColumn id="6" xr3:uid="{D2CB64D5-7B0F-434E-A3AA-3C279B3F4438}" name="GRUPP/LAG/SKOLA/ETC." dataDxfId="1379"/>
  </tableColumns>
  <tableStyleInfo name="Hallbokningsschema 2" showFirstColumn="0" showLastColumn="0" showRowStripes="0" showColumnStripes="0"/>
</table>
</file>

<file path=xl/tables/table2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6FC863CF-1C54-440D-81F4-D8C7E0A89238}" name="Tabell33643505778859299106113120127141148155162169176" displayName="Tabell33643505778859299106113120127141148155162169176" ref="A7:F8" totalsRowShown="0" headerRowDxfId="1378" dataDxfId="1377">
  <autoFilter ref="A7:F8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BE4D31A-543F-4438-8AA5-26EF2F2D6BDC}" name="DAG" dataDxfId="1376">
      <calculatedColumnFormula>PROPER(TEXT(B8, "dddd"))</calculatedColumnFormula>
    </tableColumn>
    <tableColumn id="2" xr3:uid="{EDC4BF3A-7126-43A1-9B2E-384FD2427AFE}" name="DATUM" dataDxfId="1375">
      <calculatedColumnFormula>Onsdag35</calculatedColumnFormula>
    </tableColumn>
    <tableColumn id="3" xr3:uid="{21BAEEC8-AA19-487E-9E7E-1F781B3C67BF}" name="Tid1" dataDxfId="1374"/>
    <tableColumn id="4" xr3:uid="{867C1AF4-54A6-4817-B660-7C56E71757EE}" name="TID" dataDxfId="1373"/>
    <tableColumn id="5" xr3:uid="{2695A2F8-F6CA-43DF-9DE2-EA2775D4FF1D}" name="ANTAL" dataDxfId="1372"/>
    <tableColumn id="6" xr3:uid="{971BFA6B-49F7-4A4D-9268-211A5D188CA4}" name="GRUPP/LAG/SKOLA/ETC." dataDxfId="1371"/>
  </tableColumns>
  <tableStyleInfo name="Hallbokningsschema 2" showFirstColumn="0" showLastColumn="0" showRowStripes="0" showColumnStripes="0"/>
</table>
</file>

<file path=xl/tables/table2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B80062C9-2F60-40EC-B46F-9C13E80E794D}" name="Tabell437445158798693100107114121128142149156163170177" displayName="Tabell437445158798693100107114121128142149156163170177" ref="A9:F11" totalsRowShown="0" headerRowDxfId="1370" dataDxfId="1369">
  <autoFilter ref="A9:F11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D995B72-26A5-4F26-A862-AD9AC75831BA}" name="DAG" dataDxfId="1368">
      <calculatedColumnFormula>PROPER(TEXT(B10, "dddd"))</calculatedColumnFormula>
    </tableColumn>
    <tableColumn id="2" xr3:uid="{FDE69DB8-822F-4A82-AB8E-692EC94B67C0}" name="DATUM" dataDxfId="1367">
      <calculatedColumnFormula>Torsdag35</calculatedColumnFormula>
    </tableColumn>
    <tableColumn id="3" xr3:uid="{5F6B1F2F-F601-4A33-B6A0-53F70D3DB516}" name="Tid1" dataDxfId="1366"/>
    <tableColumn id="4" xr3:uid="{9B92C6E6-F8B3-48FB-BBF9-4FA0F3CF1E5C}" name="TID" dataDxfId="1365"/>
    <tableColumn id="5" xr3:uid="{F5FBDAC5-A6A5-4930-B568-01F428EFDD9B}" name="ANTAL" dataDxfId="1364"/>
    <tableColumn id="6" xr3:uid="{3D3A1E9E-2437-48C0-8F87-E33ADB7C54F1}" name="GRUPP/LAG/SKOLA/ETC." dataDxfId="1363"/>
  </tableColumns>
  <tableStyleInfo name="Hallbokningsschema 2" showFirstColumn="0" showLastColumn="0" showRowStripes="0" showColumnStripes="0"/>
</table>
</file>

<file path=xl/tables/table2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7DF2D57A-1FFF-4579-939C-670C9D3614DC}" name="Tabell538455259808794101108115122129143150157164171178" displayName="Tabell538455259808794101108115122129143150157164171178" ref="A12:F13" totalsRowShown="0" headerRowDxfId="1362" dataDxfId="1361">
  <autoFilter ref="A12:F13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4CB41EE-3502-42AC-95EC-C9C0967779CF}" name="DAG" dataDxfId="1360">
      <calculatedColumnFormula>PROPER(TEXT(B13, "dddd"))</calculatedColumnFormula>
    </tableColumn>
    <tableColumn id="2" xr3:uid="{A8612FA0-9973-4C36-B1F7-341F93618E03}" name="DATUM" dataDxfId="1359">
      <calculatedColumnFormula>Fredag35</calculatedColumnFormula>
    </tableColumn>
    <tableColumn id="3" xr3:uid="{444C8CBB-D649-4A98-B068-9573E6E996F9}" name="Tid1" dataDxfId="1358"/>
    <tableColumn id="4" xr3:uid="{CD3D4960-00C8-41CA-8854-85BD6C5898EA}" name="TID" dataDxfId="1357"/>
    <tableColumn id="5" xr3:uid="{E94109E8-508E-4AC5-9488-9E6718EC3E75}" name="ANTAL" dataDxfId="1356"/>
    <tableColumn id="6" xr3:uid="{1D9DFB3E-AC24-4378-B403-A774FAF82F90}" name="GRUPP/LAG/SKOLA/ETC." dataDxfId="1355"/>
  </tableColumns>
  <tableStyleInfo name="Hallbokningsschema 2" showFirstColumn="0" showLastColumn="0" showRowStripes="0" showColumnStripes="0"/>
</table>
</file>

<file path=xl/tables/table2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309AF97A-EA0D-499A-B17B-D8F0AE4341B3}" name="Tabell639465360818895102109116123130144151158165172179" displayName="Tabell639465360818895102109116123130144151158165172179" ref="A14:F15" totalsRowShown="0" headerRowDxfId="1354" dataDxfId="1353">
  <autoFilter ref="A14:F15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DF8804A-DBB8-40E4-8B29-6BD96B4C1F4B}" name="DAG" dataDxfId="1352">
      <calculatedColumnFormula>PROPER(TEXT(B15, "dddd"))</calculatedColumnFormula>
    </tableColumn>
    <tableColumn id="2" xr3:uid="{64AD0905-1C80-49F7-A858-C52B0A5F679D}" name="DATUM" dataDxfId="1351">
      <calculatedColumnFormula>Lördag35</calculatedColumnFormula>
    </tableColumn>
    <tableColumn id="3" xr3:uid="{01C7D538-D139-4AED-8559-EFC09F87AB50}" name="Tid1" dataDxfId="1350"/>
    <tableColumn id="4" xr3:uid="{D8CEFAAC-712E-4B2F-A617-1A6D3AA31F86}" name="TID" dataDxfId="1349"/>
    <tableColumn id="5" xr3:uid="{DC683504-B941-494E-82D3-695099184524}" name="ANTAL" dataDxfId="1348"/>
    <tableColumn id="6" xr3:uid="{16422A7D-6277-44E9-B6F0-6547FB800060}" name="GRUPP/LAG/SKOLA/ETC." dataDxfId="1347"/>
  </tableColumns>
  <tableStyleInfo name="Hallbokningsschema 2" showFirstColumn="0" showLastColumn="0" showRowStripes="0" showColumnStripes="0"/>
</table>
</file>

<file path=xl/tables/table2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1291BF5C-3F46-47C3-AE7C-E3BA18647D4B}" name="Tabell740475461828996103110117124131145152159166173180" displayName="Tabell740475461828996103110117124131145152159166173180" ref="A16:F17" totalsRowShown="0" headerRowDxfId="1346" dataDxfId="1345">
  <autoFilter ref="A16:F17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953438C-D404-42F8-88A5-63949E35E59C}" name="DAG" dataDxfId="1344">
      <calculatedColumnFormula>PROPER(TEXT(B17, "dddd"))</calculatedColumnFormula>
    </tableColumn>
    <tableColumn id="2" xr3:uid="{949DF8EC-602C-47AE-8A3F-021B69A840BB}" name="DATUM" dataDxfId="1343">
      <calculatedColumnFormula>Söndag35</calculatedColumnFormula>
    </tableColumn>
    <tableColumn id="3" xr3:uid="{C906BC5B-1E6B-4113-B279-BA9851D0670C}" name="Tid1" dataDxfId="1342"/>
    <tableColumn id="4" xr3:uid="{37BF216C-D422-4B65-ADEF-F74A5A8F843B}" name="TID" dataDxfId="1341"/>
    <tableColumn id="5" xr3:uid="{9A596DCD-F98E-47D9-8277-0AED9F2C11EE}" name="ANTAL" dataDxfId="1340"/>
    <tableColumn id="6" xr3:uid="{C2C4EF57-E47F-4F64-A3E5-4C5D0A66358C}" name="GRUPP/LAG/SKOLA/ETC." dataDxfId="1339"/>
  </tableColumns>
  <tableStyleInfo name="Hallbokningsschema 2" showFirstColumn="0" showLastColumn="0" showRowStripes="0" showColumnStripes="0"/>
</table>
</file>

<file path=xl/tables/table2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ECEBEC04-A8F5-4CD4-A8B5-95B3757D1670}" name="Tabell13441485576839097104111118125139146153160167" displayName="Tabell13441485576839097104111118125139146153160167" ref="A2:F3" totalsRowShown="0" headerRowDxfId="1324" dataDxfId="1323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CFDEB30-03F7-4777-88B3-F16B7B3E66A8}" name="DAG" dataDxfId="1322">
      <calculatedColumnFormula>PROPER(TEXT(B3, "dddd"))</calculatedColumnFormula>
    </tableColumn>
    <tableColumn id="2" xr3:uid="{C2B10C74-BCD7-4EB4-9A81-081381FEC208}" name="DATUM" dataDxfId="1321">
      <calculatedColumnFormula>Måndag36</calculatedColumnFormula>
    </tableColumn>
    <tableColumn id="3" xr3:uid="{3D1268E3-9518-4D74-AECD-8CB51557B6FA}" name="Tid1" dataDxfId="1320"/>
    <tableColumn id="4" xr3:uid="{A7DE9A0A-0D18-4857-930C-C362FCEEEB20}" name="TID" dataDxfId="1319"/>
    <tableColumn id="5" xr3:uid="{792C85E7-5DBD-45AC-A654-3C68467088BF}" name="ANTAL" dataDxfId="1318"/>
    <tableColumn id="6" xr3:uid="{38BBD6BB-067E-4E0C-AB5D-F8DD465F2134}" name="GRUPP/LAG/SKOLA/ETC." dataDxfId="1317"/>
  </tableColumns>
  <tableStyleInfo name="Hallbokningsschema 2" showFirstColumn="0" showLastColumn="0" showRowStripes="0" showColumnStripes="0"/>
</table>
</file>

<file path=xl/tables/table2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CF1C47CB-C09C-4308-B519-F6995981DFC1}" name="Tabell23542495677849198105112119126140147154161168" displayName="Tabell23542495677849198105112119126140147154161168" ref="A4:F7" totalsRowShown="0" headerRowDxfId="1316" dataDxfId="1315">
  <autoFilter ref="A4:F7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881C734-78B2-405F-B8C8-CA3C9AD37F60}" name="DAG" dataDxfId="1314">
      <calculatedColumnFormula>PROPER(TEXT(B5, "dddd"))</calculatedColumnFormula>
    </tableColumn>
    <tableColumn id="2" xr3:uid="{28CF5F45-919D-4FF3-8A2B-18722AB8BF62}" name="DATUM" dataDxfId="1313">
      <calculatedColumnFormula>Tisdag36</calculatedColumnFormula>
    </tableColumn>
    <tableColumn id="3" xr3:uid="{9C2EA63D-8C80-4F79-82B6-DA6F55A04F50}" name="Tid1" dataDxfId="1312"/>
    <tableColumn id="4" xr3:uid="{FDF2320A-BBDB-4573-85B0-26A8A36C37A5}" name="TID" dataDxfId="1311"/>
    <tableColumn id="5" xr3:uid="{A6590CA0-2D1D-4A9C-801B-FD12828B9551}" name="ANTAL" dataDxfId="1310"/>
    <tableColumn id="6" xr3:uid="{81D4255A-368C-4FC5-8C33-959BB7CA6525}" name="GRUPP/LAG/SKOLA/ETC." dataDxfId="1309"/>
  </tableColumns>
  <tableStyleInfo name="Hallbokningsschema 2" showFirstColumn="0" showLastColumn="0" showRowStripes="0" showColumnStripes="0"/>
</table>
</file>

<file path=xl/tables/table2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DC1A989A-B0D6-4036-964F-70308ED3F216}" name="Tabell33643505778859299106113120127141148155162169" displayName="Tabell33643505778859299106113120127141148155162169" ref="A8:F11" totalsRowShown="0" headerRowDxfId="1308" dataDxfId="1307">
  <autoFilter ref="A8:F11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9:F11">
    <sortCondition ref="C9:C11"/>
  </sortState>
  <tableColumns count="6">
    <tableColumn id="1" xr3:uid="{918174D4-816B-4F98-A34C-B2F61E224852}" name="DAG" dataDxfId="1306">
      <calculatedColumnFormula>PROPER(TEXT(B9, "dddd"))</calculatedColumnFormula>
    </tableColumn>
    <tableColumn id="2" xr3:uid="{D82E61C1-E5CA-429F-9887-970ADFED8A78}" name="DATUM" dataDxfId="1305">
      <calculatedColumnFormula>Onsdag36</calculatedColumnFormula>
    </tableColumn>
    <tableColumn id="3" xr3:uid="{A527E35E-5CDD-4395-A1F7-E9820E63B300}" name="Tid1" dataDxfId="1304"/>
    <tableColumn id="4" xr3:uid="{7EF8D28F-EAE9-49E3-BC2B-2CB91E12FABC}" name="TID" dataDxfId="1303"/>
    <tableColumn id="5" xr3:uid="{F9A73973-BEBC-4943-8D63-A5C263EACB05}" name="ANTAL" dataDxfId="1302"/>
    <tableColumn id="6" xr3:uid="{B33AAB6F-AB28-4A47-BD09-3DDF04365A2B}" name="GRUPP/LAG/SKOLA/ETC." dataDxfId="1301"/>
  </tableColumns>
  <tableStyleInfo name="Hallbokningsschema 2" showFirstColumn="0" showLastColumn="0" showRowStripes="0" showColumnStripes="0"/>
</table>
</file>

<file path=xl/tables/table2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90B68885-71F4-4625-821A-D13EBC0368D2}" name="Tabell437445158798693100107114121128142149156163170" displayName="Tabell437445158798693100107114121128142149156163170" ref="A12:F14" totalsRowShown="0" headerRowDxfId="1300" dataDxfId="1299">
  <autoFilter ref="A12:F14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CF47C3F-8E37-4073-BCC6-2A69206F91A5}" name="DAG" dataDxfId="1298">
      <calculatedColumnFormula>PROPER(TEXT(B13, "dddd"))</calculatedColumnFormula>
    </tableColumn>
    <tableColumn id="2" xr3:uid="{387BADD9-9968-4670-92F5-C4D5BC68B2AB}" name="DATUM" dataDxfId="1297">
      <calculatedColumnFormula>Torsdag36</calculatedColumnFormula>
    </tableColumn>
    <tableColumn id="3" xr3:uid="{64063432-BD6F-4163-9E5C-2A1F0BA09AD0}" name="Tid1" dataDxfId="1296"/>
    <tableColumn id="4" xr3:uid="{C49BAACC-E067-4D51-A53A-737541936C1A}" name="TID" dataDxfId="1295"/>
    <tableColumn id="5" xr3:uid="{4AD528E4-16A6-4BB4-B152-98A3610734C0}" name="ANTAL" dataDxfId="1294"/>
    <tableColumn id="6" xr3:uid="{57FCE687-D298-443D-817F-054A2130C458}" name="GRUPP/LAG/SKOLA/ETC." dataDxfId="1293"/>
  </tableColumns>
  <tableStyleInfo name="Hallbokningsschema 2" showFirstColumn="0" showLastColumn="0" showRowStripes="0" showColumnStripes="0"/>
</table>
</file>

<file path=xl/tables/table2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8EC2501D-5A63-46F7-8AAE-990EF21568ED}" name="Tabell538455259808794101108115122129143150157164171" displayName="Tabell538455259808794101108115122129143150157164171" ref="A15:F16" totalsRowShown="0" headerRowDxfId="1292" dataDxfId="1291">
  <autoFilter ref="A15:F16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149D831-453A-40BB-93F2-16CF8432F78B}" name="DAG" dataDxfId="1290">
      <calculatedColumnFormula>PROPER(TEXT(B16, "dddd"))</calculatedColumnFormula>
    </tableColumn>
    <tableColumn id="2" xr3:uid="{E41C8BDB-E136-4106-AEE8-C99BB4437736}" name="DATUM" dataDxfId="1289">
      <calculatedColumnFormula>Fredag36</calculatedColumnFormula>
    </tableColumn>
    <tableColumn id="3" xr3:uid="{D595F8B1-75D0-4DF0-BE23-1EEA0D8238B3}" name="Tid1" dataDxfId="1288"/>
    <tableColumn id="4" xr3:uid="{1C4C9983-8C65-4F7B-98AF-5AF42E34E0A6}" name="TID" dataDxfId="1287"/>
    <tableColumn id="5" xr3:uid="{FE68E0F5-7362-4197-A257-652B98A0AAC8}" name="ANTAL" dataDxfId="1286"/>
    <tableColumn id="6" xr3:uid="{D80C8E1E-CD6C-4162-87F1-05D1E43B20D6}" name="GRUPP/LAG/SKOLA/ETC." dataDxfId="1285"/>
  </tableColumns>
  <tableStyleInfo name="Hallbokningsschema 2" showFirstColumn="0" showLastColumn="0" showRowStripes="0" showColumnStripes="0"/>
</table>
</file>

<file path=xl/tables/table2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B37D26F8-9DDA-407A-ABE0-EF40A83DCD10}" name="Tabell639465360818895102109116123130144151158165172" displayName="Tabell639465360818895102109116123130144151158165172" ref="A17:F18" totalsRowShown="0" headerRowDxfId="1284" dataDxfId="1283">
  <autoFilter ref="A17:F18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47F2323-3F29-4712-AD2F-A0361AE452D6}" name="DAG" dataDxfId="1282">
      <calculatedColumnFormula>PROPER(TEXT(B18, "dddd"))</calculatedColumnFormula>
    </tableColumn>
    <tableColumn id="2" xr3:uid="{BA278C07-BB6C-4947-A6C8-F064B25A2D39}" name="DATUM" dataDxfId="1281">
      <calculatedColumnFormula>Lördag36</calculatedColumnFormula>
    </tableColumn>
    <tableColumn id="3" xr3:uid="{BC6977D4-B322-4276-A83E-FEAA801ECD63}" name="Tid1" dataDxfId="1280"/>
    <tableColumn id="4" xr3:uid="{C0B7A70C-C37A-47B1-8673-E63E29297282}" name="TID" dataDxfId="1279"/>
    <tableColumn id="5" xr3:uid="{7E8F685D-69E1-4025-AA81-1A89ECD63962}" name="ANTAL" dataDxfId="1278"/>
    <tableColumn id="6" xr3:uid="{59D47422-3A2C-4C14-BE6C-D75A7C682C6D}" name="GRUPP/LAG/SKOLA/ETC." dataDxfId="1277"/>
  </tableColumns>
  <tableStyleInfo name="Hallbokningsschema 2" showFirstColumn="0" showLastColumn="0" showRowStripes="0" showColumnStripes="0"/>
</table>
</file>

<file path=xl/tables/table2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F039E769-AFBA-4475-B2F8-BB74AC09E842}" name="Tabell740475461828996103110117124131145152159166173" displayName="Tabell740475461828996103110117124131145152159166173" ref="A19:F20" totalsRowShown="0" headerRowDxfId="1276" dataDxfId="1275">
  <autoFilter ref="A19:F20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08370AE-0749-4E90-BBF8-E2C129790CE3}" name="DAG" dataDxfId="1274">
      <calculatedColumnFormula>PROPER(TEXT(B20, "dddd"))</calculatedColumnFormula>
    </tableColumn>
    <tableColumn id="2" xr3:uid="{463E9A1C-3A8D-4C85-BEE4-8A9DEEC23862}" name="DATUM" dataDxfId="1273">
      <calculatedColumnFormula>Söndag36</calculatedColumnFormula>
    </tableColumn>
    <tableColumn id="3" xr3:uid="{0B5EE853-618E-4BCF-BF24-144C5CBF392E}" name="Tid1" dataDxfId="1272"/>
    <tableColumn id="4" xr3:uid="{5D440118-5C3B-4439-AD99-7DC72DE4FDB1}" name="TID" dataDxfId="1271"/>
    <tableColumn id="5" xr3:uid="{65D509D5-9E6E-4E96-86C5-DD40C130BF72}" name="ANTAL" dataDxfId="1270"/>
    <tableColumn id="6" xr3:uid="{DEB4A04F-68A2-4096-B145-98A1B8AA3E9D}" name="GRUPP/LAG/SKOLA/ETC." dataDxfId="1269"/>
  </tableColumns>
  <tableStyleInfo name="Hallbokningsschema 2" showFirstColumn="0" showLastColumn="0" showRowStripes="0" showColumnStripes="0"/>
</table>
</file>

<file path=xl/tables/table2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3FD74695-D1B7-4F33-A2B5-DC846655206F}" name="Tabell13441485576839097104111118125139146153160" displayName="Tabell13441485576839097104111118125139146153160" ref="A2:F3" totalsRowShown="0" headerRowDxfId="1252" dataDxfId="1251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3D33C32-83AA-4852-A4BC-EB8BA922C7D3}" name="DAG" dataDxfId="1250">
      <calculatedColumnFormula>PROPER(TEXT(B3, "dddd"))</calculatedColumnFormula>
    </tableColumn>
    <tableColumn id="2" xr3:uid="{D7CC5596-652C-4122-B60C-CDC13A08C45E}" name="DATUM" dataDxfId="1249">
      <calculatedColumnFormula>Måndag37</calculatedColumnFormula>
    </tableColumn>
    <tableColumn id="3" xr3:uid="{1B3407AF-81E7-4D93-804C-EECFFAB6ED7E}" name="Tid1" dataDxfId="1248"/>
    <tableColumn id="4" xr3:uid="{A3C41BA3-BD6C-4575-98C8-1E6081DFD3FE}" name="TID" dataDxfId="1247"/>
    <tableColumn id="5" xr3:uid="{273943EF-3EA9-4ED3-BEB6-60BB9EBC45C0}" name="ANTAL" dataDxfId="1246"/>
    <tableColumn id="6" xr3:uid="{141FB9AF-2BB6-452F-8D2D-F35DA1190CD1}" name="GRUPP/LAG/SKOLA/ETC." dataDxfId="1245"/>
  </tableColumns>
  <tableStyleInfo name="Hallbokningsschema 2" showFirstColumn="0" showLastColumn="0" showRowStripes="0" showColumnStripes="0"/>
</table>
</file>

<file path=xl/tables/table2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6562C1DB-293A-491D-8C61-A7DE018232A8}" name="Tabell23542495677849198105112119126140147154161" displayName="Tabell23542495677849198105112119126140147154161" ref="A4:F8" totalsRowShown="0" headerRowDxfId="1244" dataDxfId="1243">
  <autoFilter ref="A4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D78FCC3-69FA-49C3-87B3-A0952E0EB462}" name="DAG" dataDxfId="1242">
      <calculatedColumnFormula>PROPER(TEXT(B5, "dddd"))</calculatedColumnFormula>
    </tableColumn>
    <tableColumn id="2" xr3:uid="{FEA670F7-239E-4FFD-88C0-57E353358AA4}" name="DATUM" dataDxfId="1241">
      <calculatedColumnFormula>Tisdag37</calculatedColumnFormula>
    </tableColumn>
    <tableColumn id="3" xr3:uid="{84104AFC-787B-4EC3-B0EF-3DAF98E665E1}" name="Tid1" dataDxfId="1240"/>
    <tableColumn id="4" xr3:uid="{D5303001-7259-49E6-B1DF-C75DDB4D2D05}" name="TID" dataDxfId="1239"/>
    <tableColumn id="5" xr3:uid="{B4C2967B-5CF5-4C61-9A85-9A17A7C9E9B0}" name="ANTAL" dataDxfId="1238"/>
    <tableColumn id="6" xr3:uid="{7177194B-E946-4DAA-AC24-1F40E453E486}" name="GRUPP/LAG/SKOLA/ETC." dataDxfId="1237"/>
  </tableColumns>
  <tableStyleInfo name="Hallbokningsschema 2" showFirstColumn="0" showLastColumn="0" showRowStripes="0" showColumnStripes="0"/>
</table>
</file>

<file path=xl/tables/table2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756617F9-3228-48E3-9F1C-8E2D9BB997F0}" name="Tabell33643505778859299106113120127141148155162" displayName="Tabell33643505778859299106113120127141148155162" ref="A9:F14" totalsRowShown="0" headerRowDxfId="1236" dataDxfId="1235">
  <autoFilter ref="A9:F14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4">
    <sortCondition ref="C10:C14"/>
  </sortState>
  <tableColumns count="6">
    <tableColumn id="1" xr3:uid="{406E7938-D4CF-4E42-8BC9-84AF2DB2827E}" name="DAG" dataDxfId="1234">
      <calculatedColumnFormula>PROPER(TEXT(B10, "dddd"))</calculatedColumnFormula>
    </tableColumn>
    <tableColumn id="2" xr3:uid="{593D2618-D69C-491F-BCA6-A856259AC02D}" name="DATUM" dataDxfId="1233">
      <calculatedColumnFormula>Onsdag37</calculatedColumnFormula>
    </tableColumn>
    <tableColumn id="3" xr3:uid="{E75E23B1-0CA5-4F94-BF79-E5A55165A599}" name="Tid1" dataDxfId="1232"/>
    <tableColumn id="4" xr3:uid="{AEAA6E01-05C4-4E5F-BC77-377FDDF95FB3}" name="TID" dataDxfId="1231"/>
    <tableColumn id="5" xr3:uid="{FD1375E3-34B8-4876-A3E8-94B9C0CBCA2C}" name="ANTAL" dataDxfId="1230"/>
    <tableColumn id="6" xr3:uid="{77416962-9E12-4430-A2BB-5B37D4CD66A5}" name="GRUPP/LAG/SKOLA/ETC." dataDxfId="1229"/>
  </tableColumns>
  <tableStyleInfo name="Hallbokningsschema 2" showFirstColumn="0" showLastColumn="0" showRowStripes="0" showColumnStripes="0"/>
</table>
</file>

<file path=xl/tables/table2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EEBE6CAC-A46B-47D2-BE22-4C11E29A61A8}" name="Tabell437445158798693100107114121128142149156163" displayName="Tabell437445158798693100107114121128142149156163" ref="A15:F19" totalsRowShown="0" headerRowDxfId="1228" dataDxfId="1227">
  <autoFilter ref="A15:F1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7D81D09-26F3-4F33-830E-04040181A393}" name="DAG" dataDxfId="1226">
      <calculatedColumnFormula>PROPER(TEXT(B16, "dddd"))</calculatedColumnFormula>
    </tableColumn>
    <tableColumn id="2" xr3:uid="{2744A5E3-2DB3-4668-B268-7088BFF4DA5B}" name="DATUM" dataDxfId="1225">
      <calculatedColumnFormula>Torsdag37</calculatedColumnFormula>
    </tableColumn>
    <tableColumn id="3" xr3:uid="{0158E41A-B5EA-446C-A934-BFE8EF4EDF7E}" name="Tid1" dataDxfId="1224"/>
    <tableColumn id="4" xr3:uid="{8CA370B3-2582-4D36-9953-D79ADCA72925}" name="TID" dataDxfId="1223"/>
    <tableColumn id="5" xr3:uid="{670E10FA-6100-47E9-98C1-C914FD54422D}" name="ANTAL" dataDxfId="1222"/>
    <tableColumn id="6" xr3:uid="{5752560A-7781-4D8B-8DB7-F59AD0D48A1E}" name="GRUPP/LAG/SKOLA/ETC." dataDxfId="1221"/>
  </tableColumns>
  <tableStyleInfo name="Hallbokningsschema 2" showFirstColumn="0" showLastColumn="0" showRowStripes="0" showColumnStripes="0"/>
</table>
</file>

<file path=xl/tables/table2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4F326928-4D38-4396-A72F-214DD20D2BF0}" name="Tabell538455259808794101108115122129143150157164" displayName="Tabell538455259808794101108115122129143150157164" ref="A20:F24" totalsRowShown="0" headerRowDxfId="1220" dataDxfId="1219">
  <autoFilter ref="A20:F24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699553D-0D3D-4F25-B71C-3DE79FD54FB7}" name="DAG" dataDxfId="1218">
      <calculatedColumnFormula>PROPER(TEXT(B21, "dddd"))</calculatedColumnFormula>
    </tableColumn>
    <tableColumn id="2" xr3:uid="{F35C6704-71ED-4E3F-A106-18C44DFDFEEC}" name="DATUM" dataDxfId="1217">
      <calculatedColumnFormula>Fredag37</calculatedColumnFormula>
    </tableColumn>
    <tableColumn id="3" xr3:uid="{EF74E2B1-754F-4DBC-8B28-1A2796769241}" name="Tid1" dataDxfId="1216"/>
    <tableColumn id="4" xr3:uid="{670ADF46-0303-46C2-8F02-ED042347899E}" name="TID" dataDxfId="1215"/>
    <tableColumn id="5" xr3:uid="{8C358965-1CEB-4154-A0C5-FE41C6C7BEE2}" name="ANTAL" dataDxfId="1214"/>
    <tableColumn id="6" xr3:uid="{DBF9DDF0-09B9-4FED-9AD6-53E97C217EEC}" name="GRUPP/LAG/SKOLA/ETC." dataDxfId="1213"/>
  </tableColumns>
  <tableStyleInfo name="Hallbokningsschema 2" showFirstColumn="0" showLastColumn="0" showRowStripes="0" showColumnStripes="0"/>
</table>
</file>

<file path=xl/tables/table2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201A2DFE-09EC-4023-A242-046FFD4BD95D}" name="Tabell639465360818895102109116123130144151158165" displayName="Tabell639465360818895102109116123130144151158165" ref="A25:F26" totalsRowShown="0" headerRowDxfId="1212" dataDxfId="1211">
  <autoFilter ref="A25:F26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89EAFC7-7930-40A1-8062-74B4B1B31D3A}" name="DAG" dataDxfId="1210">
      <calculatedColumnFormula>PROPER(TEXT(B26, "dddd"))</calculatedColumnFormula>
    </tableColumn>
    <tableColumn id="2" xr3:uid="{B7D1ED26-2B7D-4EAD-8D94-3A5A48F5F0FB}" name="DATUM" dataDxfId="1209">
      <calculatedColumnFormula>Lördag37</calculatedColumnFormula>
    </tableColumn>
    <tableColumn id="3" xr3:uid="{1D05527B-E313-49E6-B834-5342E3ECBCC9}" name="Tid1" dataDxfId="1208"/>
    <tableColumn id="4" xr3:uid="{C05D1691-E14C-4249-BF7F-030B58753067}" name="TID" dataDxfId="1207"/>
    <tableColumn id="5" xr3:uid="{F43DE588-17F1-4C52-B795-F4B3B59FBB0A}" name="ANTAL" dataDxfId="1206"/>
    <tableColumn id="6" xr3:uid="{08B53A05-17FB-4F00-9603-8A0403948F3F}" name="GRUPP/LAG/SKOLA/ETC." dataDxfId="1205"/>
  </tableColumns>
  <tableStyleInfo name="Hallbokningsschema 2" showFirstColumn="0" showLastColumn="0" showRowStripes="0" showColumnStripes="0"/>
</table>
</file>

<file path=xl/tables/table2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28B8640B-3F1E-4601-A7BB-3B61CF8ED59C}" name="Tabell740475461828996103110117124131145152159166" displayName="Tabell740475461828996103110117124131145152159166" ref="A27:F28" totalsRowShown="0" headerRowDxfId="1204" dataDxfId="1203">
  <autoFilter ref="A27:F28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49D5CE2-2A33-4CB8-B2F0-0BFE4CCC11C8}" name="DAG" dataDxfId="1202">
      <calculatedColumnFormula>PROPER(TEXT(B28, "dddd"))</calculatedColumnFormula>
    </tableColumn>
    <tableColumn id="2" xr3:uid="{6EB3DEEC-C86A-43C7-9018-641BD66DD45E}" name="DATUM" dataDxfId="1201">
      <calculatedColumnFormula>Söndag37</calculatedColumnFormula>
    </tableColumn>
    <tableColumn id="3" xr3:uid="{9A278E49-3E70-4B11-852C-FADB8160F057}" name="Tid1" dataDxfId="1200"/>
    <tableColumn id="4" xr3:uid="{97A73681-A248-4AFB-8374-98D250404449}" name="TID" dataDxfId="1199"/>
    <tableColumn id="5" xr3:uid="{8BF77DB8-9CF2-4EE4-A0E3-B33176882BF5}" name="ANTAL" dataDxfId="1198"/>
    <tableColumn id="6" xr3:uid="{1C46B505-0035-4851-B4D6-66B282A1A778}" name="GRUPP/LAG/SKOLA/ETC." dataDxfId="1197"/>
  </tableColumns>
  <tableStyleInfo name="Hallbokningsschema 2" showFirstColumn="0" showLastColumn="0" showRowStripes="0" showColumnStripes="0"/>
</table>
</file>

<file path=xl/tables/table2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1EE49FAA-BB02-4C96-B5D1-1F8C11D83836}" name="Tabell13441485576839097104111118125139146153" displayName="Tabell13441485576839097104111118125139146153" ref="A2:F4" totalsRowShown="0" headerRowDxfId="1181" dataDxfId="1180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4">
    <sortCondition ref="C3:C4"/>
  </sortState>
  <tableColumns count="6">
    <tableColumn id="1" xr3:uid="{B380182D-CD64-4E5E-BF7C-E7939C2160E6}" name="DAG" dataDxfId="1179">
      <calculatedColumnFormula>PROPER(TEXT(B3, "dddd"))</calculatedColumnFormula>
    </tableColumn>
    <tableColumn id="2" xr3:uid="{98670B69-F861-462C-A0A9-16D18B763699}" name="DATUM" dataDxfId="1178">
      <calculatedColumnFormula>Måndag38</calculatedColumnFormula>
    </tableColumn>
    <tableColumn id="3" xr3:uid="{39A94467-2232-48A2-930E-2692C9A8E715}" name="Tid1" dataDxfId="1177"/>
    <tableColumn id="4" xr3:uid="{11798FDD-21A9-473E-BBD4-7F70908FA258}" name="TID" dataDxfId="1176"/>
    <tableColumn id="5" xr3:uid="{779A698A-32E1-4F38-AD92-159DB6CFEFD4}" name="ANTAL" dataDxfId="1175"/>
    <tableColumn id="6" xr3:uid="{66C2A88F-C5FB-47E4-87DD-1F00495CC174}" name="GRUPP/LAG/SKOLA/ETC." dataDxfId="1174"/>
  </tableColumns>
  <tableStyleInfo name="Hallbokningsschema 2" showFirstColumn="0" showLastColumn="0" showRowStripes="0" showColumnStripes="0"/>
</table>
</file>

<file path=xl/tables/table2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80401460-7867-45A5-A41E-4E3A32A67E98}" name="Tabell23542495677849198105112119126140147154" displayName="Tabell23542495677849198105112119126140147154" ref="A5:F10" totalsRowShown="0" headerRowDxfId="1173" dataDxfId="1172">
  <autoFilter ref="A5:F10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6:F10">
    <sortCondition ref="C6:C10"/>
  </sortState>
  <tableColumns count="6">
    <tableColumn id="1" xr3:uid="{50166E16-33EA-4846-9D89-934B48B946F0}" name="DAG" dataDxfId="1171">
      <calculatedColumnFormula>PROPER(TEXT(B6, "dddd"))</calculatedColumnFormula>
    </tableColumn>
    <tableColumn id="2" xr3:uid="{528FF6C4-7C69-44AC-85B6-FA3212168E2E}" name="DATUM" dataDxfId="1170">
      <calculatedColumnFormula>Tisdag38</calculatedColumnFormula>
    </tableColumn>
    <tableColumn id="3" xr3:uid="{005A6196-E54A-4706-9103-73FD6773008E}" name="Tid1" dataDxfId="1169"/>
    <tableColumn id="4" xr3:uid="{00D389C0-DFBB-48EA-9325-047C5A93CA5B}" name="TID" dataDxfId="1168"/>
    <tableColumn id="5" xr3:uid="{9505C2CF-72DB-428B-8721-97F98F7A40E0}" name="ANTAL" dataDxfId="1167"/>
    <tableColumn id="6" xr3:uid="{56C13AD9-EA4F-4DDD-A8BB-50D89363E1E3}" name="GRUPP/LAG/SKOLA/ETC." dataDxfId="1166"/>
  </tableColumns>
  <tableStyleInfo name="Hallbokningsschema 2" showFirstColumn="0" showLastColumn="0" showRowStripes="0" showColumnStripes="0"/>
</table>
</file>

<file path=xl/tables/table2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1A1F428C-657F-44D0-8C7F-14D7795B53DD}" name="Tabell33643505778859299106113120127141148155" displayName="Tabell33643505778859299106113120127141148155" ref="A11:F17" totalsRowShown="0" headerRowDxfId="1165" dataDxfId="1164">
  <autoFilter ref="A11:F1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2:F17">
    <sortCondition ref="C12:C17"/>
  </sortState>
  <tableColumns count="6">
    <tableColumn id="1" xr3:uid="{C72BD0C2-23C7-4915-A84C-7E05667CC602}" name="DAG" dataDxfId="1163">
      <calculatedColumnFormula>PROPER(TEXT(B12, "dddd"))</calculatedColumnFormula>
    </tableColumn>
    <tableColumn id="2" xr3:uid="{4439C86B-A55C-4109-9794-D4BD64D4F3CD}" name="DATUM" dataDxfId="1162">
      <calculatedColumnFormula>Onsdag38</calculatedColumnFormula>
    </tableColumn>
    <tableColumn id="3" xr3:uid="{074CB401-F169-4EE8-9E28-8459FAC10FC4}" name="Tid1" dataDxfId="1161"/>
    <tableColumn id="4" xr3:uid="{C014A711-DAC4-434A-9960-21192B0715CB}" name="TID" dataDxfId="1160"/>
    <tableColumn id="5" xr3:uid="{2EBA600C-1EF3-45F3-B41A-78E157EF1FBE}" name="ANTAL" dataDxfId="1159"/>
    <tableColumn id="6" xr3:uid="{F38B74B0-6BED-4F07-B162-B771E9DDC63D}" name="GRUPP/LAG/SKOLA/ETC." dataDxfId="1158"/>
  </tableColumns>
  <tableStyleInfo name="Hallbokningsschema 2" showFirstColumn="0" showLastColumn="0" showRowStripes="0" showColumnStripes="0"/>
</table>
</file>

<file path=xl/tables/table2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91BADBC1-E102-45DE-AB64-B745406BC56D}" name="Tabell437445158798693100107114121128142149156" displayName="Tabell437445158798693100107114121128142149156" ref="A18:F23" totalsRowShown="0" headerRowDxfId="1157" dataDxfId="1156">
  <autoFilter ref="A18:F23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9:F23">
    <sortCondition ref="C19:C23"/>
  </sortState>
  <tableColumns count="6">
    <tableColumn id="1" xr3:uid="{E4773E50-A1E4-4A07-8CC5-7C4321104E61}" name="DAG" dataDxfId="1155">
      <calculatedColumnFormula>PROPER(TEXT(B19, "dddd"))</calculatedColumnFormula>
    </tableColumn>
    <tableColumn id="2" xr3:uid="{5F0A2A7B-9659-4E58-8850-CFFFCD5C4322}" name="DATUM" dataDxfId="1154">
      <calculatedColumnFormula>Torsdag38</calculatedColumnFormula>
    </tableColumn>
    <tableColumn id="3" xr3:uid="{66A0346D-3EAB-46A6-8602-4BDBA67D4D42}" name="Tid1" dataDxfId="1153"/>
    <tableColumn id="4" xr3:uid="{4DDD1119-C91F-4B02-A316-E11E1D8DFB4B}" name="TID" dataDxfId="1152"/>
    <tableColumn id="5" xr3:uid="{4B49659D-F395-4686-A86F-41881742C30C}" name="ANTAL" dataDxfId="1151"/>
    <tableColumn id="6" xr3:uid="{0ECEB027-F3DC-4D94-9038-B38A4C280325}" name="GRUPP/LAG/SKOLA/ETC." dataDxfId="1150"/>
  </tableColumns>
  <tableStyleInfo name="Hallbokningsschema 2" showFirstColumn="0" showLastColumn="0" showRowStripes="0" showColumnStripes="0"/>
</table>
</file>

<file path=xl/tables/table2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E76DD586-2CF4-4EB8-9B3C-08155BB5F1EF}" name="Tabell538455259808794101108115122129143150157" displayName="Tabell538455259808794101108115122129143150157" ref="A24:F29" totalsRowShown="0" headerRowDxfId="1149" dataDxfId="1148">
  <autoFilter ref="A24:F29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5:F29">
    <sortCondition ref="C25:C29"/>
  </sortState>
  <tableColumns count="6">
    <tableColumn id="1" xr3:uid="{1C7443A2-A90E-4739-B43F-4339545F32E7}" name="DAG" dataDxfId="1147">
      <calculatedColumnFormula>PROPER(TEXT(B25, "dddd"))</calculatedColumnFormula>
    </tableColumn>
    <tableColumn id="2" xr3:uid="{E08582DE-05D4-4F83-8058-A6DDF0602D04}" name="DATUM" dataDxfId="1146">
      <calculatedColumnFormula>Fredag38</calculatedColumnFormula>
    </tableColumn>
    <tableColumn id="3" xr3:uid="{ABC00137-F5DC-4E68-8987-9B05ADA6FD9A}" name="Tid1" dataDxfId="1145"/>
    <tableColumn id="4" xr3:uid="{A62C8CA5-6010-4698-AC78-4C7429A073A5}" name="TID" dataDxfId="1144"/>
    <tableColumn id="5" xr3:uid="{36D68E92-572D-4277-9CE0-CB8D16F1D55C}" name="ANTAL" dataDxfId="1143"/>
    <tableColumn id="6" xr3:uid="{5B237A86-ADE4-4A8C-8EAE-4740A0791001}" name="GRUPP/LAG/SKOLA/ETC." dataDxfId="1142"/>
  </tableColumns>
  <tableStyleInfo name="Hallbokningsschema 2" showFirstColumn="0" showLastColumn="0" showRowStripes="0" showColumnStripes="0"/>
</table>
</file>

<file path=xl/tables/table2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18D41E1E-8A81-4301-AE5F-6F3D73089571}" name="Tabell639465360818895102109116123130144151158" displayName="Tabell639465360818895102109116123130144151158" ref="A30:F31" totalsRowShown="0" headerRowDxfId="1141" dataDxfId="1140">
  <autoFilter ref="A30:F31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2E0685D-23F7-4032-9A15-FCB07BE14652}" name="DAG" dataDxfId="1139">
      <calculatedColumnFormula>PROPER(TEXT(B31, "dddd"))</calculatedColumnFormula>
    </tableColumn>
    <tableColumn id="2" xr3:uid="{58EDB60F-0C25-48DB-8D8C-100554F17877}" name="DATUM" dataDxfId="1138">
      <calculatedColumnFormula>Lördag38</calculatedColumnFormula>
    </tableColumn>
    <tableColumn id="3" xr3:uid="{4FAFE7B9-FBF4-4A79-A985-EEEDFBAF8673}" name="Tid1" dataDxfId="1137"/>
    <tableColumn id="4" xr3:uid="{8AD97BDD-2658-4DEA-8EE3-D448797777DD}" name="TID" dataDxfId="1136"/>
    <tableColumn id="5" xr3:uid="{6BB0E9C9-71AF-48A9-81DD-EE1E85B6EEC4}" name="ANTAL" dataDxfId="1135"/>
    <tableColumn id="6" xr3:uid="{5C6C0FE8-4096-4F28-98E6-2B10D5248177}" name="GRUPP/LAG/SKOLA/ETC." dataDxfId="1134"/>
  </tableColumns>
  <tableStyleInfo name="Hallbokningsschema 2" showFirstColumn="0" showLastColumn="0" showRowStripes="0" showColumnStripes="0"/>
</table>
</file>

<file path=xl/tables/table2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1487C462-DA47-498E-9879-5BC29752D347}" name="Tabell740475461828996103110117124131145152159" displayName="Tabell740475461828996103110117124131145152159" ref="A32:F33" totalsRowShown="0" headerRowDxfId="1133" dataDxfId="1132">
  <autoFilter ref="A32:F33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ADDDBC8-33F1-46FA-AE69-E4A1674FD7F9}" name="DAG" dataDxfId="1131">
      <calculatedColumnFormula>PROPER(TEXT(B33, "dddd"))</calculatedColumnFormula>
    </tableColumn>
    <tableColumn id="2" xr3:uid="{AACC369F-8791-4183-8148-E9B6896BB474}" name="DATUM" dataDxfId="1130">
      <calculatedColumnFormula>Söndag38</calculatedColumnFormula>
    </tableColumn>
    <tableColumn id="3" xr3:uid="{8FDC4776-2E5D-4B69-B408-07F7AC556AD4}" name="Tid1" dataDxfId="1129"/>
    <tableColumn id="4" xr3:uid="{1B931365-0874-4F96-B239-C66D01C284C8}" name="TID" dataDxfId="1128"/>
    <tableColumn id="5" xr3:uid="{AEE7AA7A-796F-4003-92F1-C42CA813AB58}" name="ANTAL" dataDxfId="1127"/>
    <tableColumn id="6" xr3:uid="{F46EB51B-28D1-4056-8BF3-7A601BA86DBE}" name="GRUPP/LAG/SKOLA/ETC." dataDxfId="1126"/>
  </tableColumns>
  <tableStyleInfo name="Hallbokningsschema 2" showFirstColumn="0" showLastColumn="0" showRowStripes="0" showColumnStripes="0"/>
</table>
</file>

<file path=xl/tables/table2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74C6ABD5-2EC8-40B0-9E46-F44CFB8E4C8E}" name="Tabell13441485576839097104111118125139146" displayName="Tabell13441485576839097104111118125139146" ref="A2:F4" totalsRowShown="0" headerRowDxfId="1102" dataDxfId="1101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4">
    <sortCondition ref="C3:C4"/>
  </sortState>
  <tableColumns count="6">
    <tableColumn id="1" xr3:uid="{C416329A-7D94-4DF5-A757-20FBDD17F086}" name="DAG" dataDxfId="1100">
      <calculatedColumnFormula>PROPER(TEXT(B3, "dddd"))</calculatedColumnFormula>
    </tableColumn>
    <tableColumn id="2" xr3:uid="{D42BD8C9-ECEC-41BA-9612-E7C94E26D1D3}" name="DATUM" dataDxfId="1099">
      <calculatedColumnFormula>Måndag39</calculatedColumnFormula>
    </tableColumn>
    <tableColumn id="3" xr3:uid="{0886DD3D-E0CC-4433-AD5D-C3C650A64FD4}" name="Tid1" dataDxfId="1098"/>
    <tableColumn id="4" xr3:uid="{905DA381-A03A-4ECF-9834-58B63EE59EB6}" name="TID" dataDxfId="1097"/>
    <tableColumn id="5" xr3:uid="{0BDBEA4E-635C-4E55-B55E-84214CC3D969}" name="ANTAL" dataDxfId="1096"/>
    <tableColumn id="6" xr3:uid="{38E1724F-DED3-4DF1-932D-D3215DF5C2BF}" name="GRUPP/LAG/SKOLA/ETC." dataDxfId="1095"/>
  </tableColumns>
  <tableStyleInfo name="Hallbokningsschema 2" showFirstColumn="0" showLastColumn="0" showRowStripes="0" showColumnStripes="0"/>
</table>
</file>

<file path=xl/tables/table2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CAC572C5-5E9D-4A81-ACE1-D859A5CE6E58}" name="Tabell23542495677849198105112119126140147" displayName="Tabell23542495677849198105112119126140147" ref="A5:F11" totalsRowShown="0" headerRowDxfId="1094" dataDxfId="1093">
  <autoFilter ref="A5:F11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6:F11">
    <sortCondition ref="C6:C11"/>
  </sortState>
  <tableColumns count="6">
    <tableColumn id="1" xr3:uid="{D055C5E1-26F7-441C-9314-740800F57DAE}" name="DAG" dataDxfId="1092">
      <calculatedColumnFormula>PROPER(TEXT(B6, "dddd"))</calculatedColumnFormula>
    </tableColumn>
    <tableColumn id="2" xr3:uid="{28195A85-DAFE-42A6-ABF4-CF82657E467F}" name="DATUM" dataDxfId="1091">
      <calculatedColumnFormula>Tisdag39</calculatedColumnFormula>
    </tableColumn>
    <tableColumn id="3" xr3:uid="{ABF6E2AC-0B16-4874-BEF2-5968D947592F}" name="Tid1" dataDxfId="1090"/>
    <tableColumn id="4" xr3:uid="{B6FB4728-2E89-4B10-B6EA-3EE4BEDAF66E}" name="TID" dataDxfId="1089"/>
    <tableColumn id="5" xr3:uid="{32A90D4E-7506-4D32-B034-ED1AEB6D57BA}" name="ANTAL" dataDxfId="1088"/>
    <tableColumn id="6" xr3:uid="{7DF2DE5E-8B53-457A-BB45-8FD8F312F047}" name="GRUPP/LAG/SKOLA/ETC." dataDxfId="1087"/>
  </tableColumns>
  <tableStyleInfo name="Hallbokningsschema 2" showFirstColumn="0" showLastColumn="0" showRowStripes="0" showColumnStripes="0"/>
</table>
</file>

<file path=xl/tables/table2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EC573D5B-61BA-47FC-A8DE-3B53EE21A5A0}" name="Tabell33643505778859299106113120127141148" displayName="Tabell33643505778859299106113120127141148" ref="A12:F19" totalsRowShown="0" headerRowDxfId="1086" dataDxfId="1085">
  <autoFilter ref="A12:F19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3:F19">
    <sortCondition ref="C13:C19"/>
  </sortState>
  <tableColumns count="6">
    <tableColumn id="1" xr3:uid="{3C83977E-9BEE-4A08-9485-83463251E106}" name="DAG" dataDxfId="1084">
      <calculatedColumnFormula>PROPER(TEXT(B13, "dddd"))</calculatedColumnFormula>
    </tableColumn>
    <tableColumn id="2" xr3:uid="{2DF667E1-4C0E-406C-BEF6-E1B2AF60F6C1}" name="DATUM" dataDxfId="1083">
      <calculatedColumnFormula>Onsdag39</calculatedColumnFormula>
    </tableColumn>
    <tableColumn id="3" xr3:uid="{7E11BE09-3DCD-4947-9028-233DE8A39472}" name="Tid1" dataDxfId="1082"/>
    <tableColumn id="4" xr3:uid="{462445E8-1402-4A70-9143-EA39799D89F8}" name="TID" dataDxfId="1081"/>
    <tableColumn id="5" xr3:uid="{93240C77-CCF0-47AE-A780-50E3809F8CFF}" name="ANTAL" dataDxfId="1080"/>
    <tableColumn id="6" xr3:uid="{BDEAA03C-8F4A-446E-BC4B-7059A53BD957}" name="GRUPP/LAG/SKOLA/ETC." dataDxfId="1079"/>
  </tableColumns>
  <tableStyleInfo name="Hallbokningsschema 2" showFirstColumn="0" showLastColumn="0" showRowStripes="0" showColumnStripes="0"/>
</table>
</file>

<file path=xl/tables/table2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B668D7F8-C746-4EF1-8AA8-71B9B9F01FE7}" name="Tabell437445158798693100107114121128142149" displayName="Tabell437445158798693100107114121128142149" ref="A20:F25" totalsRowShown="0" headerRowDxfId="1078" dataDxfId="1077">
  <autoFilter ref="A20:F25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1:F25">
    <sortCondition ref="C21:C25"/>
  </sortState>
  <tableColumns count="6">
    <tableColumn id="1" xr3:uid="{67243C0B-58CA-4864-9FB2-EA1760107954}" name="DAG" dataDxfId="1076">
      <calculatedColumnFormula>PROPER(TEXT(B21, "dddd"))</calculatedColumnFormula>
    </tableColumn>
    <tableColumn id="2" xr3:uid="{43971473-CFAD-4449-8D8F-1AE7B247BB2E}" name="DATUM" dataDxfId="1075">
      <calculatedColumnFormula>Torsdag39</calculatedColumnFormula>
    </tableColumn>
    <tableColumn id="3" xr3:uid="{13ADD932-7CF7-4730-8193-ADFED29F9992}" name="Tid1" dataDxfId="1074"/>
    <tableColumn id="4" xr3:uid="{AA165369-696B-48DE-B23A-BC4E7203A551}" name="TID" dataDxfId="1073"/>
    <tableColumn id="5" xr3:uid="{9EF58642-A3FD-457B-BD33-2B893CA5A54F}" name="ANTAL" dataDxfId="1072"/>
    <tableColumn id="6" xr3:uid="{B64DFF68-75B3-4A07-904F-11FF597F8314}" name="GRUPP/LAG/SKOLA/ETC." dataDxfId="1071"/>
  </tableColumns>
  <tableStyleInfo name="Hallbokningsschema 2" showFirstColumn="0" showLastColumn="0" showRowStripes="0" showColumnStripes="0"/>
</table>
</file>

<file path=xl/tables/table2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53379BF0-196D-4876-9641-E65C1A1BC008}" name="Tabell538455259808794101108115122129143150" displayName="Tabell538455259808794101108115122129143150" ref="A26:F31" totalsRowShown="0" headerRowDxfId="1070" dataDxfId="1069">
  <autoFilter ref="A26:F3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7:F31">
    <sortCondition ref="C27:C31"/>
  </sortState>
  <tableColumns count="6">
    <tableColumn id="1" xr3:uid="{B1019F5E-95CD-4B0D-BAC4-FBA8BBBBDF98}" name="DAG" dataDxfId="1068">
      <calculatedColumnFormula>PROPER(TEXT(B27, "dddd"))</calculatedColumnFormula>
    </tableColumn>
    <tableColumn id="2" xr3:uid="{282CB76D-2AE4-4F73-96FE-99B42A02EF44}" name="DATUM" dataDxfId="1067">
      <calculatedColumnFormula>Fredag39</calculatedColumnFormula>
    </tableColumn>
    <tableColumn id="3" xr3:uid="{C67DE6D2-10F4-41F2-A47B-DBB15852AD91}" name="Tid1" dataDxfId="1066"/>
    <tableColumn id="4" xr3:uid="{E29EFFB4-66B6-4CDB-B01F-0E5727AAC147}" name="TID" dataDxfId="1065"/>
    <tableColumn id="5" xr3:uid="{C5EBFCC0-267C-47F4-ABDB-7C5E11B4920D}" name="ANTAL" dataDxfId="1064"/>
    <tableColumn id="6" xr3:uid="{115ABAFE-2C4E-4109-92EC-86E309EC2F8E}" name="GRUPP/LAG/SKOLA/ETC." dataDxfId="1063"/>
  </tableColumns>
  <tableStyleInfo name="Hallbokningsschema 2" showFirstColumn="0" showLastColumn="0" showRowStripes="0" showColumnStripes="0"/>
</table>
</file>

<file path=xl/tables/table2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EFE295D7-50E7-4A0F-A7BA-3F7E4DD13A07}" name="Tabell639465360818895102109116123130144151" displayName="Tabell639465360818895102109116123130144151" ref="A32:F33" totalsRowShown="0" headerRowDxfId="1062" dataDxfId="1061">
  <autoFilter ref="A32:F3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D1ECE19-5B36-410D-9B73-07CB6A71B18C}" name="DAG" dataDxfId="1060">
      <calculatedColumnFormula>PROPER(TEXT(B33, "dddd"))</calculatedColumnFormula>
    </tableColumn>
    <tableColumn id="2" xr3:uid="{07E1B40B-8BCD-4F94-9E92-5E0E09A83AB0}" name="DATUM" dataDxfId="1059">
      <calculatedColumnFormula>Lördag39</calculatedColumnFormula>
    </tableColumn>
    <tableColumn id="3" xr3:uid="{39D9B7B8-425D-42E6-B16F-EC03F0A63DDC}" name="Tid1" dataDxfId="1058"/>
    <tableColumn id="4" xr3:uid="{EC9E164D-B9EF-4404-BCC5-5681825DC857}" name="TID" dataDxfId="1057"/>
    <tableColumn id="5" xr3:uid="{BA345A98-1EBA-43D1-99C2-B890014882E1}" name="ANTAL" dataDxfId="1056"/>
    <tableColumn id="6" xr3:uid="{2516BBAA-D1DB-47E5-9319-B0C7B02750B5}" name="GRUPP/LAG/SKOLA/ETC." dataDxfId="1055"/>
  </tableColumns>
  <tableStyleInfo name="Hallbokningsschema 2" showFirstColumn="0" showLastColumn="0" showRowStripes="0" showColumnStripes="0"/>
</table>
</file>

<file path=xl/tables/table2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B5D48140-42ED-4501-BE8C-AA5CD69C4F5E}" name="Tabell740475461828996103110117124131145152" displayName="Tabell740475461828996103110117124131145152" ref="A34:F35" totalsRowShown="0" headerRowDxfId="1054" dataDxfId="1053">
  <autoFilter ref="A34:F3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D437A5E-CF21-475D-81AD-7FDA36C10626}" name="DAG" dataDxfId="1052">
      <calculatedColumnFormula>PROPER(TEXT(B35, "dddd"))</calculatedColumnFormula>
    </tableColumn>
    <tableColumn id="2" xr3:uid="{ACB774FE-840C-4719-8CD4-BF4059E0F970}" name="DATUM" dataDxfId="1051">
      <calculatedColumnFormula>Söndag39</calculatedColumnFormula>
    </tableColumn>
    <tableColumn id="3" xr3:uid="{D6F30B79-1E4F-452E-B1C2-A3609252BAA1}" name="Tid1" dataDxfId="1050"/>
    <tableColumn id="4" xr3:uid="{22BCDE7C-83C0-43EB-AC53-092110FCA057}" name="TID" dataDxfId="1049"/>
    <tableColumn id="5" xr3:uid="{D297EE44-F9CB-4C74-A4B5-6E6A0B44B84C}" name="ANTAL" dataDxfId="1048"/>
    <tableColumn id="6" xr3:uid="{73F0B135-535F-4C1E-AD98-F2C08A13D631}" name="GRUPP/LAG/SKOLA/ETC." dataDxfId="1047"/>
  </tableColumns>
  <tableStyleInfo name="Hallbokningsschema 2" showFirstColumn="0" showLastColumn="0" showRowStripes="0" showColumnStripes="0"/>
</table>
</file>

<file path=xl/tables/table2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AC5A4717-49B2-413A-82D7-E1D0AE618503}" name="Tabell13441485576839097104111118125139" displayName="Tabell13441485576839097104111118125139" ref="A2:F4" totalsRowShown="0" headerRowDxfId="1023" dataDxfId="1022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4">
    <sortCondition ref="C3:C4"/>
  </sortState>
  <tableColumns count="6">
    <tableColumn id="1" xr3:uid="{C2E61614-7BDC-4495-985C-0ECFFD68070C}" name="DAG" dataDxfId="1021">
      <calculatedColumnFormula>PROPER(TEXT(B3, "dddd"))</calculatedColumnFormula>
    </tableColumn>
    <tableColumn id="2" xr3:uid="{D91708EB-26B7-4DC4-8D6D-5D60FDD9476E}" name="DATUM" dataDxfId="1020">
      <calculatedColumnFormula>Måndag40</calculatedColumnFormula>
    </tableColumn>
    <tableColumn id="3" xr3:uid="{A174BF56-B2D3-4C07-9929-31079605AE38}" name="Tid1" dataDxfId="1019"/>
    <tableColumn id="4" xr3:uid="{C93A2ACF-38EF-480C-90FA-6AD8B4BEDBBF}" name="TID" dataDxfId="1018"/>
    <tableColumn id="5" xr3:uid="{664401C5-641B-4C1D-BCCE-9161638A2C6D}" name="ANTAL" dataDxfId="1017"/>
    <tableColumn id="6" xr3:uid="{767BE82F-3F4F-4701-821D-E4DD45F367EC}" name="GRUPP/LAG/SKOLA/ETC." dataDxfId="1016"/>
  </tableColumns>
  <tableStyleInfo name="Hallbokningsschema 2" showFirstColumn="0" showLastColumn="0" showRowStripes="0" showColumnStripes="0"/>
</table>
</file>

<file path=xl/tables/table2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1BE2EDF2-B743-434D-9DD4-7CE5F988F052}" name="Tabell23542495677849198105112119126140" displayName="Tabell23542495677849198105112119126140" ref="A5:F11" totalsRowShown="0" headerRowDxfId="1015" dataDxfId="1014">
  <autoFilter ref="A5:F11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6:F11">
    <sortCondition ref="C6:C11"/>
  </sortState>
  <tableColumns count="6">
    <tableColumn id="1" xr3:uid="{AF930292-CA81-43C8-9E3E-E9DFCCD69677}" name="DAG" dataDxfId="1013">
      <calculatedColumnFormula>PROPER(TEXT(B6, "dddd"))</calculatedColumnFormula>
    </tableColumn>
    <tableColumn id="2" xr3:uid="{7B3DB876-632A-4C26-B9A6-BE99E9FBAFCA}" name="DATUM" dataDxfId="1012">
      <calculatedColumnFormula>Tisdag40</calculatedColumnFormula>
    </tableColumn>
    <tableColumn id="3" xr3:uid="{C19350C7-8482-41BD-9266-7AF655CBE27F}" name="Tid1" dataDxfId="1011"/>
    <tableColumn id="4" xr3:uid="{25E1DC3D-0EE2-414F-8F9A-E0ABE572BF49}" name="TID" dataDxfId="1010"/>
    <tableColumn id="5" xr3:uid="{8A50F613-9D99-402D-8FF2-FEECADC53344}" name="ANTAL" dataDxfId="1009"/>
    <tableColumn id="6" xr3:uid="{90E3CB80-1AF8-4800-934C-A4799C4D9AEF}" name="GRUPP/LAG/SKOLA/ETC." dataDxfId="1008"/>
  </tableColumns>
  <tableStyleInfo name="Hallbokningsschema 2" showFirstColumn="0" showLastColumn="0" showRowStripes="0" showColumnStripes="0"/>
</table>
</file>

<file path=xl/tables/table2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53C100AE-844D-4CEB-AB02-90BCFA460381}" name="Tabell33643505778859299106113120127141" displayName="Tabell33643505778859299106113120127141" ref="A12:F19" totalsRowShown="0" headerRowDxfId="1007" dataDxfId="1006">
  <autoFilter ref="A12:F19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3:F19">
    <sortCondition ref="C13:C19"/>
  </sortState>
  <tableColumns count="6">
    <tableColumn id="1" xr3:uid="{D0986F67-ABD4-4BE1-BA9E-8AD38CC34E3E}" name="DAG" dataDxfId="1005">
      <calculatedColumnFormula>PROPER(TEXT(B13, "dddd"))</calculatedColumnFormula>
    </tableColumn>
    <tableColumn id="2" xr3:uid="{204EA87A-D010-4CB8-AC70-14AA3549D26E}" name="DATUM" dataDxfId="1004">
      <calculatedColumnFormula>Onsdag40</calculatedColumnFormula>
    </tableColumn>
    <tableColumn id="3" xr3:uid="{DA2068D2-A8C3-41E0-B1F7-BED8672FD452}" name="Tid1" dataDxfId="1003"/>
    <tableColumn id="4" xr3:uid="{97F3ECCD-EB2C-45AE-8783-65AEE77FFFF9}" name="TID" dataDxfId="1002"/>
    <tableColumn id="5" xr3:uid="{211A5AA9-064F-416C-AB9B-A504470B59FF}" name="ANTAL" dataDxfId="1001"/>
    <tableColumn id="6" xr3:uid="{E54C29A0-9C43-4601-A0BF-45FC0C105390}" name="GRUPP/LAG/SKOLA/ETC." dataDxfId="1000"/>
  </tableColumns>
  <tableStyleInfo name="Hallbokningsschema 2" showFirstColumn="0" showLastColumn="0" showRowStripes="0" showColumnStripes="0"/>
</table>
</file>

<file path=xl/tables/table2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E21560CC-C965-4F5B-BCD3-0A2EB7827B6D}" name="Tabell437445158798693100107114121128142" displayName="Tabell437445158798693100107114121128142" ref="A20:F25" totalsRowShown="0" headerRowDxfId="999" dataDxfId="998">
  <autoFilter ref="A20:F25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1:F25">
    <sortCondition ref="C21:C25"/>
  </sortState>
  <tableColumns count="6">
    <tableColumn id="1" xr3:uid="{B1305EB6-F26F-4DB8-898E-C41E149B9B8F}" name="DAG" dataDxfId="997">
      <calculatedColumnFormula>PROPER(TEXT(B21, "dddd"))</calculatedColumnFormula>
    </tableColumn>
    <tableColumn id="2" xr3:uid="{6D2457FC-64ED-4E9D-A92F-535301BC740D}" name="DATUM" dataDxfId="996">
      <calculatedColumnFormula>Torsdag40</calculatedColumnFormula>
    </tableColumn>
    <tableColumn id="3" xr3:uid="{B44B0982-21A7-47E7-B701-AFCD1CD49AA3}" name="Tid1" dataDxfId="995"/>
    <tableColumn id="4" xr3:uid="{A37D6B73-AA49-4311-80A7-47B467E34AD8}" name="TID" dataDxfId="994"/>
    <tableColumn id="5" xr3:uid="{72FE3E6E-2308-4D2F-A705-C152ABB08A9B}" name="ANTAL" dataDxfId="993"/>
    <tableColumn id="6" xr3:uid="{E928D486-2271-4D40-BA2B-CD78BD156066}" name="GRUPP/LAG/SKOLA/ETC." dataDxfId="992"/>
  </tableColumns>
  <tableStyleInfo name="Hallbokningsschema 2" showFirstColumn="0" showLastColumn="0" showRowStripes="0" showColumnStripes="0"/>
</table>
</file>

<file path=xl/tables/table2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5250C6E7-1EAC-4960-A90F-97197E6DD987}" name="Tabell538455259808794101108115122129143" displayName="Tabell538455259808794101108115122129143" ref="A26:F32" totalsRowShown="0" headerRowDxfId="991" dataDxfId="990">
  <autoFilter ref="A26:F32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7:F32">
    <sortCondition ref="C27:C32"/>
  </sortState>
  <tableColumns count="6">
    <tableColumn id="1" xr3:uid="{FA626066-1783-44B9-B25E-1CC03B1702E1}" name="DAG" dataDxfId="989">
      <calculatedColumnFormula>PROPER(TEXT(B27, "dddd"))</calculatedColumnFormula>
    </tableColumn>
    <tableColumn id="2" xr3:uid="{FF7360D6-DE44-4FE7-BFE3-AFAE2D431D30}" name="DATUM" dataDxfId="988">
      <calculatedColumnFormula>Fredag40</calculatedColumnFormula>
    </tableColumn>
    <tableColumn id="3" xr3:uid="{DFE66550-EDC1-4BA1-9A1B-29A9F184407C}" name="Tid1" dataDxfId="987"/>
    <tableColumn id="4" xr3:uid="{F13559F2-4109-4A7B-864D-5B073DD06E10}" name="TID" dataDxfId="986"/>
    <tableColumn id="5" xr3:uid="{D5C10DAF-9664-443C-AA9D-C0969DE9526A}" name="ANTAL" dataDxfId="985"/>
    <tableColumn id="6" xr3:uid="{C7A96223-CA0C-4F9E-8B57-2319A7A00B4B}" name="GRUPP/LAG/SKOLA/ETC." dataDxfId="984"/>
  </tableColumns>
  <tableStyleInfo name="Hallbokningsschema 2" showFirstColumn="0" showLastColumn="0" showRowStripes="0" showColumnStripes="0"/>
</table>
</file>

<file path=xl/tables/table2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01B4A590-3629-4F0E-8C70-8108AEA2D2E5}" name="Tabell639465360818895102109116123130144" displayName="Tabell639465360818895102109116123130144" ref="A33:F34" totalsRowShown="0" headerRowDxfId="983" dataDxfId="982">
  <autoFilter ref="A33:F34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4:F34">
    <sortCondition ref="C34"/>
  </sortState>
  <tableColumns count="6">
    <tableColumn id="1" xr3:uid="{D93C52B1-E7ED-4EC0-A218-59523FFDBA07}" name="DAG" dataDxfId="981">
      <calculatedColumnFormula>PROPER(TEXT(B34, "dddd"))</calculatedColumnFormula>
    </tableColumn>
    <tableColumn id="2" xr3:uid="{0B937309-E889-47A6-823B-D2F598AB1426}" name="DATUM" dataDxfId="980">
      <calculatedColumnFormula>Lördag40</calculatedColumnFormula>
    </tableColumn>
    <tableColumn id="3" xr3:uid="{032EAACF-4D36-4AC7-915E-CE431A8D7DC0}" name="Tid1" dataDxfId="979"/>
    <tableColumn id="4" xr3:uid="{B383BDA5-DB89-4494-84F8-84AE2F5C55F9}" name="TID" dataDxfId="978"/>
    <tableColumn id="5" xr3:uid="{4A05605E-30D7-478F-9CCF-E067B4C9A31C}" name="ANTAL" dataDxfId="977"/>
    <tableColumn id="6" xr3:uid="{3041FE52-FC94-43F4-B6E7-12F963F97344}" name="GRUPP/LAG/SKOLA/ETC." dataDxfId="976"/>
  </tableColumns>
  <tableStyleInfo name="Hallbokningsschema 2" showFirstColumn="0" showLastColumn="0" showRowStripes="0" showColumnStripes="0"/>
</table>
</file>

<file path=xl/tables/table2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32D61203-33CE-42FD-854F-2D313CB7E689}" name="Tabell740475461828996103110117124131145" displayName="Tabell740475461828996103110117124131145" ref="A35:F36" totalsRowShown="0" headerRowDxfId="975" dataDxfId="974">
  <autoFilter ref="A35:F36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6:F36">
    <sortCondition ref="C36"/>
  </sortState>
  <tableColumns count="6">
    <tableColumn id="1" xr3:uid="{0CBCE991-9101-4CB0-ADAA-41123BFC88A0}" name="DAG" dataDxfId="973">
      <calculatedColumnFormula>PROPER(TEXT(B36, "dddd"))</calculatedColumnFormula>
    </tableColumn>
    <tableColumn id="2" xr3:uid="{EBE9D77E-FD98-4D19-9461-196326CD0DF8}" name="DATUM" dataDxfId="972">
      <calculatedColumnFormula>Söndag40</calculatedColumnFormula>
    </tableColumn>
    <tableColumn id="3" xr3:uid="{841EA455-F3BE-4FB0-A99E-5BABD10525F0}" name="Tid1" dataDxfId="971"/>
    <tableColumn id="4" xr3:uid="{9A83CACC-3610-4FD2-A9B2-A3EA38A5107D}" name="TID" dataDxfId="970"/>
    <tableColumn id="5" xr3:uid="{10CBF726-8C01-4818-B710-3F3ECBB3EB8D}" name="ANTAL" dataDxfId="969"/>
    <tableColumn id="6" xr3:uid="{AEEADF79-AADF-4A2A-801F-F140132D2417}" name="GRUPP/LAG/SKOLA/ETC." dataDxfId="968"/>
  </tableColumns>
  <tableStyleInfo name="Hallbokningsschema 2" showFirstColumn="0" showLastColumn="0" showRowStripes="0" showColumnStripes="0"/>
</table>
</file>

<file path=xl/tables/table2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D245EB7B-C435-4B75-B200-EFE653C7A932}" name="Tabell13441485576839097104111118125" displayName="Tabell13441485576839097104111118125" ref="A2:F5" totalsRowShown="0" headerRowDxfId="947" dataDxfId="946">
  <autoFilter ref="A2:F5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5">
    <sortCondition ref="C3:C5"/>
  </sortState>
  <tableColumns count="6">
    <tableColumn id="1" xr3:uid="{C01090F4-E78E-4ACE-88F1-511BE91E4FF8}" name="DAG" dataDxfId="945">
      <calculatedColumnFormula>PROPER(TEXT(B3, "dddd"))</calculatedColumnFormula>
    </tableColumn>
    <tableColumn id="2" xr3:uid="{BEB5708A-5282-4DC7-AE6E-BC121BCE0EAC}" name="DATUM" dataDxfId="944">
      <calculatedColumnFormula>Måndag41</calculatedColumnFormula>
    </tableColumn>
    <tableColumn id="3" xr3:uid="{639C1458-9993-403C-A05C-588BE7ED227E}" name="Tid1" dataDxfId="943"/>
    <tableColumn id="4" xr3:uid="{DFB72F9B-6CEF-46B8-A40F-A2F5510341B9}" name="TID" dataDxfId="942"/>
    <tableColumn id="5" xr3:uid="{D47A89B7-C927-4E58-8EC4-612ABFB8AAC7}" name="ANTAL" dataDxfId="941"/>
    <tableColumn id="6" xr3:uid="{A5D57510-0EEE-4CA0-857E-7305B3DBD204}" name="GRUPP/LAG/SKOLA/ETC." dataDxfId="940"/>
  </tableColumns>
  <tableStyleInfo name="Hallbokningsschema 2" showFirstColumn="0" showLastColumn="0" showRowStripes="0" showColumnStripes="0"/>
</table>
</file>

<file path=xl/tables/table2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F863C282-7265-48BB-8C91-C2084CF8102A}" name="Tabell23542495677849198105112119126" displayName="Tabell23542495677849198105112119126" ref="A6:F11" totalsRowShown="0" headerRowDxfId="939" dataDxfId="938">
  <autoFilter ref="A6:F11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7:F11">
    <sortCondition ref="C7:C11"/>
  </sortState>
  <tableColumns count="6">
    <tableColumn id="1" xr3:uid="{169DF43B-E81B-47FC-9D52-D5C4F3A4A839}" name="DAG" dataDxfId="937">
      <calculatedColumnFormula>PROPER(TEXT(B7, "dddd"))</calculatedColumnFormula>
    </tableColumn>
    <tableColumn id="2" xr3:uid="{7713D2F6-9D42-417B-8832-D9A36A34B0F1}" name="DATUM" dataDxfId="936">
      <calculatedColumnFormula>Tisdag41</calculatedColumnFormula>
    </tableColumn>
    <tableColumn id="3" xr3:uid="{075BA42C-F6F3-4A5C-BC12-E7E8CC644AFD}" name="Tid1" dataDxfId="935"/>
    <tableColumn id="4" xr3:uid="{F2C0F637-CF9B-4F93-93BD-1828DBBBB757}" name="TID" dataDxfId="934"/>
    <tableColumn id="5" xr3:uid="{43B571A3-3465-49EA-97EC-241DB6E98273}" name="ANTAL" dataDxfId="933"/>
    <tableColumn id="6" xr3:uid="{BCE40EAD-4B21-452C-838B-8255DB6327F7}" name="GRUPP/LAG/SKOLA/ETC." dataDxfId="932"/>
  </tableColumns>
  <tableStyleInfo name="Hallbokningsschema 2" showFirstColumn="0" showLastColumn="0" showRowStripes="0" showColumnStripes="0"/>
</table>
</file>

<file path=xl/tables/table2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13112CB7-6BB0-48E9-843C-4BF3A9EDD7AF}" name="Tabell33643505778859299106113120127" displayName="Tabell33643505778859299106113120127" ref="A12:F17" totalsRowShown="0" headerRowDxfId="931" dataDxfId="930">
  <autoFilter ref="A12:F1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3:F17">
    <sortCondition ref="C13:C17"/>
  </sortState>
  <tableColumns count="6">
    <tableColumn id="1" xr3:uid="{7E3D80FC-3657-4486-B433-69E7E17DD1B0}" name="DAG" dataDxfId="929">
      <calculatedColumnFormula>PROPER(TEXT(B13, "dddd"))</calculatedColumnFormula>
    </tableColumn>
    <tableColumn id="2" xr3:uid="{F40D8EC5-7C01-4C88-A270-E23968CDC454}" name="DATUM" dataDxfId="928">
      <calculatedColumnFormula>Onsdag41</calculatedColumnFormula>
    </tableColumn>
    <tableColumn id="3" xr3:uid="{A1238DFB-C102-419D-957E-A02B153D8E8A}" name="Tid1" dataDxfId="927"/>
    <tableColumn id="4" xr3:uid="{F93B9A4E-9AE1-478B-A882-6732107C9F49}" name="TID" dataDxfId="926"/>
    <tableColumn id="5" xr3:uid="{D80D1F18-9249-4150-8FFD-9721F06BA7C7}" name="ANTAL" dataDxfId="925"/>
    <tableColumn id="6" xr3:uid="{E382B0EA-B5DF-4BC8-8AEE-EBF2EECD1C60}" name="GRUPP/LAG/SKOLA/ETC." dataDxfId="924"/>
  </tableColumns>
  <tableStyleInfo name="Hallbokningsschema 2" showFirstColumn="0" showLastColumn="0" showRowStripes="0" showColumnStripes="0"/>
</table>
</file>

<file path=xl/tables/table2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11C7293D-6DFE-41B8-82AD-41F5B3AC6FB7}" name="Tabell437445158798693100107114121128" displayName="Tabell437445158798693100107114121128" ref="A18:F23" totalsRowShown="0" headerRowDxfId="923" dataDxfId="922">
  <autoFilter ref="A18:F23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9:F23">
    <sortCondition ref="C19:C23"/>
  </sortState>
  <tableColumns count="6">
    <tableColumn id="1" xr3:uid="{FAC0F84E-D04F-43E9-9311-852E62CC57EF}" name="DAG" dataDxfId="921">
      <calculatedColumnFormula>PROPER(TEXT(B19, "dddd"))</calculatedColumnFormula>
    </tableColumn>
    <tableColumn id="2" xr3:uid="{B6DC1103-7237-4F9E-BFB3-5DB35216760D}" name="DATUM" dataDxfId="920">
      <calculatedColumnFormula>Torsdag41</calculatedColumnFormula>
    </tableColumn>
    <tableColumn id="3" xr3:uid="{5CE59DC0-3FFD-4836-A339-CCB01A0A0B75}" name="Tid1" dataDxfId="919"/>
    <tableColumn id="4" xr3:uid="{0006165A-BD6F-4391-BAB6-371B2B49F9E2}" name="TID" dataDxfId="918"/>
    <tableColumn id="5" xr3:uid="{41D25BA5-BCAC-40B7-9D8F-A40FFAE4E60C}" name="ANTAL" dataDxfId="917"/>
    <tableColumn id="6" xr3:uid="{84AFA6AC-1DE7-48F7-AEDA-BA50A793DEE0}" name="GRUPP/LAG/SKOLA/ETC." dataDxfId="916"/>
  </tableColumns>
  <tableStyleInfo name="Hallbokningsschema 2" showFirstColumn="0" showLastColumn="0" showRowStripes="0" showColumnStripes="0"/>
</table>
</file>

<file path=xl/tables/table2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210120BE-D38C-4DB5-94FA-F03E376441CF}" name="Tabell538455259808794101108115122129" displayName="Tabell538455259808794101108115122129" ref="A24:F29" totalsRowShown="0" headerRowDxfId="915" dataDxfId="914">
  <autoFilter ref="A24:F29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5:F29">
    <sortCondition ref="C25:C29"/>
  </sortState>
  <tableColumns count="6">
    <tableColumn id="1" xr3:uid="{CD3511DB-4A69-4454-A308-C8CC4F04DF71}" name="DAG" dataDxfId="913">
      <calculatedColumnFormula>PROPER(TEXT(B25, "dddd"))</calculatedColumnFormula>
    </tableColumn>
    <tableColumn id="2" xr3:uid="{AC5BAC59-145C-482E-9B0F-7F0EAD98777C}" name="DATUM" dataDxfId="912">
      <calculatedColumnFormula>Fredag41</calculatedColumnFormula>
    </tableColumn>
    <tableColumn id="3" xr3:uid="{CA2A2CC1-A0F2-4846-8B82-A8808ED89C3B}" name="Tid1" dataDxfId="911"/>
    <tableColumn id="4" xr3:uid="{FCC69EEE-223B-4676-8BE5-7382186D8E56}" name="TID" dataDxfId="910"/>
    <tableColumn id="5" xr3:uid="{90AF7A4D-5331-4E67-A1C0-9C2AFE3E0259}" name="ANTAL" dataDxfId="909"/>
    <tableColumn id="6" xr3:uid="{8FCD8C70-E2D8-44A2-874B-E0C44259CE80}" name="GRUPP/LAG/SKOLA/ETC." dataDxfId="908"/>
  </tableColumns>
  <tableStyleInfo name="Hallbokningsschema 2" showFirstColumn="0" showLastColumn="0" showRowStripes="0" showColumnStripes="0"/>
</table>
</file>

<file path=xl/tables/table2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3C15368A-0401-47FF-A5C0-A2A4E455D6D3}" name="Tabell639465360818895102109116123130" displayName="Tabell639465360818895102109116123130" ref="A30:F31" totalsRowShown="0" headerRowDxfId="907" dataDxfId="906">
  <autoFilter ref="A30:F31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118CBB2-3DDE-445B-82BF-6AE87990F2DD}" name="DAG" dataDxfId="905">
      <calculatedColumnFormula>PROPER(TEXT(B31, "dddd"))</calculatedColumnFormula>
    </tableColumn>
    <tableColumn id="2" xr3:uid="{11B9CDC9-1B9C-4EC8-A84A-14ECD9A89A8C}" name="DATUM" dataDxfId="904">
      <calculatedColumnFormula>Lördag41</calculatedColumnFormula>
    </tableColumn>
    <tableColumn id="3" xr3:uid="{23969EF0-A1F3-4646-A3D4-D8E5E71A21E6}" name="Tid1" dataDxfId="903"/>
    <tableColumn id="4" xr3:uid="{2FA21F83-4144-478E-BA32-0B7DA8FE8E24}" name="TID" dataDxfId="902"/>
    <tableColumn id="5" xr3:uid="{5471B982-FB48-4B86-B68D-661C538F7E22}" name="ANTAL" dataDxfId="901"/>
    <tableColumn id="6" xr3:uid="{793CC409-8D56-4CDF-AE8A-92EBA2E5496B}" name="GRUPP/LAG/SKOLA/ETC." dataDxfId="900"/>
  </tableColumns>
  <tableStyleInfo name="Hallbokningsschema 2" showFirstColumn="0" showLastColumn="0" showRowStripes="0" showColumnStripes="0"/>
</table>
</file>

<file path=xl/tables/table2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DFF31DB6-A509-4412-A83B-2CDF7DC0E6BC}" name="Tabell740475461828996103110117124131" displayName="Tabell740475461828996103110117124131" ref="A32:F33" totalsRowShown="0" headerRowDxfId="899" dataDxfId="898">
  <autoFilter ref="A32:F33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F1456D8-BC67-4CB2-B31F-374E7CE230A6}" name="DAG" dataDxfId="897">
      <calculatedColumnFormula>PROPER(TEXT(B33, "dddd"))</calculatedColumnFormula>
    </tableColumn>
    <tableColumn id="2" xr3:uid="{BA0C0FBD-B22A-4D3C-9AD0-62DBC3125647}" name="DATUM" dataDxfId="896">
      <calculatedColumnFormula>Söndag41</calculatedColumnFormula>
    </tableColumn>
    <tableColumn id="3" xr3:uid="{D737B26A-4839-4D7C-ABBB-AAE539724F00}" name="Tid1" dataDxfId="895"/>
    <tableColumn id="4" xr3:uid="{002A7DAA-033A-4BB2-B61A-040F37F492ED}" name="TID" dataDxfId="894"/>
    <tableColumn id="5" xr3:uid="{C48263E5-DAE3-4382-B3D4-8937D1402454}" name="ANTAL" dataDxfId="893"/>
    <tableColumn id="6" xr3:uid="{DEC4BC15-CBE5-4B8A-AA4D-4F80DC23E3C1}" name="GRUPP/LAG/SKOLA/ETC." dataDxfId="892"/>
  </tableColumns>
  <tableStyleInfo name="Hallbokningsschema 2" showFirstColumn="0" showLastColumn="0" showRowStripes="0" showColumnStripes="0"/>
</table>
</file>

<file path=xl/tables/table2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A4C7D152-4516-4076-B039-0724C96C9436}" name="Tabell13441485576839097104111118" displayName="Tabell13441485576839097104111118" ref="A2:F4" totalsRowShown="0" headerRowDxfId="871" dataDxfId="870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4">
    <sortCondition ref="C3:C4"/>
  </sortState>
  <tableColumns count="6">
    <tableColumn id="1" xr3:uid="{CAA9A1F0-6EB8-4697-B108-850A169C30C2}" name="DAG" dataDxfId="869">
      <calculatedColumnFormula>PROPER(TEXT(B3, "dddd"))</calculatedColumnFormula>
    </tableColumn>
    <tableColumn id="2" xr3:uid="{C798AF14-5592-4960-A32D-A4CCFFDD6253}" name="DATUM" dataDxfId="868">
      <calculatedColumnFormula>Måndag42</calculatedColumnFormula>
    </tableColumn>
    <tableColumn id="3" xr3:uid="{D8711833-F93C-4EF2-9AB2-F3C5A9BF31EB}" name="Tid1" dataDxfId="867"/>
    <tableColumn id="4" xr3:uid="{58B3C115-04EC-44CD-B600-FCFB01839475}" name="TID" dataDxfId="866"/>
    <tableColumn id="5" xr3:uid="{869DBE47-EAF1-4A26-BAF6-AF3736C0B72C}" name="ANTAL" dataDxfId="865"/>
    <tableColumn id="6" xr3:uid="{A18D4060-6E97-4873-B69C-FCE64AEA75D6}" name="GRUPP/LAG/SKOLA/ETC." dataDxfId="864"/>
  </tableColumns>
  <tableStyleInfo name="Hallbokningsschema 2" showFirstColumn="0" showLastColumn="0" showRowStripes="0" showColumnStripes="0"/>
</table>
</file>

<file path=xl/tables/table2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325349DA-E74D-4E14-8A40-CC47B5A9F382}" name="Tabell23542495677849198105112119" displayName="Tabell23542495677849198105112119" ref="A5:F10" totalsRowShown="0" headerRowDxfId="863" dataDxfId="862">
  <autoFilter ref="A5:F10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6:F10">
    <sortCondition ref="C6:C10"/>
  </sortState>
  <tableColumns count="6">
    <tableColumn id="1" xr3:uid="{B94B41C0-AFAE-4DB9-ACEC-6BCE5C105674}" name="DAG" dataDxfId="861">
      <calculatedColumnFormula>PROPER(TEXT(B6, "dddd"))</calculatedColumnFormula>
    </tableColumn>
    <tableColumn id="2" xr3:uid="{DAD7E568-B073-4DEC-A1A1-410551F5CAC2}" name="DATUM" dataDxfId="860">
      <calculatedColumnFormula>Tisdag42</calculatedColumnFormula>
    </tableColumn>
    <tableColumn id="3" xr3:uid="{2194E7BD-7B33-4F84-A0FC-D4D4650848A3}" name="Tid1" dataDxfId="859"/>
    <tableColumn id="4" xr3:uid="{E5309780-9F81-4F0A-866C-2168E13171BB}" name="TID" dataDxfId="858"/>
    <tableColumn id="5" xr3:uid="{E08550F1-B99F-433A-AC80-D0730E79C82B}" name="ANTAL" dataDxfId="857"/>
    <tableColumn id="6" xr3:uid="{E67BD5A4-702D-4185-B671-D0CF0F19FB9A}" name="GRUPP/LAG/SKOLA/ETC." dataDxfId="856"/>
  </tableColumns>
  <tableStyleInfo name="Hallbokningsschema 2" showFirstColumn="0" showLastColumn="0" showRowStripes="0" showColumnStripes="0"/>
</table>
</file>

<file path=xl/tables/table2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86DA6A11-3697-4A3E-B3FA-15BD8469FC80}" name="Tabell33643505778859299106113120" displayName="Tabell33643505778859299106113120" ref="A11:F16" totalsRowShown="0" headerRowDxfId="855" dataDxfId="854">
  <autoFilter ref="A11:F16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2:F16">
    <sortCondition ref="C12:C16"/>
  </sortState>
  <tableColumns count="6">
    <tableColumn id="1" xr3:uid="{A4DABC4C-4DF8-41DD-BF60-660594A2EFA4}" name="DAG" dataDxfId="853">
      <calculatedColumnFormula>PROPER(TEXT(B12, "dddd"))</calculatedColumnFormula>
    </tableColumn>
    <tableColumn id="2" xr3:uid="{933BE029-5013-403C-8C50-09351BBD8504}" name="DATUM" dataDxfId="852">
      <calculatedColumnFormula>Onsdag42</calculatedColumnFormula>
    </tableColumn>
    <tableColumn id="3" xr3:uid="{F13B894A-01E7-4BC4-825F-CC282DBDD513}" name="Tid1" dataDxfId="851"/>
    <tableColumn id="4" xr3:uid="{B3622D83-18A5-4F5F-9CDD-B50D4210F9EC}" name="TID" dataDxfId="850"/>
    <tableColumn id="5" xr3:uid="{33F428F2-736F-4562-BAF4-F316FE395A94}" name="ANTAL" dataDxfId="849"/>
    <tableColumn id="6" xr3:uid="{F3906AB5-679B-48FB-9EF3-B022CFA00365}" name="GRUPP/LAG/SKOLA/ETC." dataDxfId="848"/>
  </tableColumns>
  <tableStyleInfo name="Hallbokningsschema 2" showFirstColumn="0" showLastColumn="0" showRowStripes="0" showColumnStripes="0"/>
</table>
</file>

<file path=xl/tables/table2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29AADEB8-62FC-4A1E-8917-ACD8A0BB06A6}" name="Tabell437445158798693100107114121" displayName="Tabell437445158798693100107114121" ref="A17:F22" totalsRowShown="0" headerRowDxfId="847" dataDxfId="846">
  <autoFilter ref="A17:F22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8:F22">
    <sortCondition ref="C18:C22"/>
  </sortState>
  <tableColumns count="6">
    <tableColumn id="1" xr3:uid="{C768981D-0C3C-4EDB-9610-FA2E88F3104F}" name="DAG" dataDxfId="845">
      <calculatedColumnFormula>PROPER(TEXT(B18, "dddd"))</calculatedColumnFormula>
    </tableColumn>
    <tableColumn id="2" xr3:uid="{F254AACA-EAE8-46B6-A83E-8CA4AACFAC28}" name="DATUM" dataDxfId="844">
      <calculatedColumnFormula>Torsdag42</calculatedColumnFormula>
    </tableColumn>
    <tableColumn id="3" xr3:uid="{7EEAFFD0-05ED-43C1-B296-DAED513FAB91}" name="Tid1" dataDxfId="843"/>
    <tableColumn id="4" xr3:uid="{B80ECB5F-55F5-4CAE-B2B5-F7C29F4E2320}" name="TID" dataDxfId="842"/>
    <tableColumn id="5" xr3:uid="{5909551E-5B8B-4C46-ACE6-E2FF74FC40AD}" name="ANTAL" dataDxfId="841"/>
    <tableColumn id="6" xr3:uid="{213243BB-629F-4A48-86C2-62010B1C3232}" name="GRUPP/LAG/SKOLA/ETC." dataDxfId="840"/>
  </tableColumns>
  <tableStyleInfo name="Hallbokningsschema 2" showFirstColumn="0" showLastColumn="0" showRowStripes="0" showColumnStripes="0"/>
</table>
</file>

<file path=xl/tables/table2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243AF7A5-80CD-4E61-9C8E-04ED68270B5C}" name="Tabell538455259808794101108115122" displayName="Tabell538455259808794101108115122" ref="A23:F28" totalsRowShown="0" headerRowDxfId="839" dataDxfId="838">
  <autoFilter ref="A23:F28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4:F28">
    <sortCondition ref="C24:C28"/>
  </sortState>
  <tableColumns count="6">
    <tableColumn id="1" xr3:uid="{4A19B518-F0A2-484F-A281-19BE0907ABAB}" name="DAG" dataDxfId="837">
      <calculatedColumnFormula>PROPER(TEXT(B24, "dddd"))</calculatedColumnFormula>
    </tableColumn>
    <tableColumn id="2" xr3:uid="{DCE0DBA9-6AA1-410E-B963-E784DDE3E3B9}" name="DATUM" dataDxfId="836">
      <calculatedColumnFormula>Fredag42</calculatedColumnFormula>
    </tableColumn>
    <tableColumn id="3" xr3:uid="{4AE445CA-EA2B-4910-90F4-D094E892F558}" name="Tid1" dataDxfId="835"/>
    <tableColumn id="4" xr3:uid="{440F6C25-629A-4F4A-818E-2568D40F41DC}" name="TID" dataDxfId="834"/>
    <tableColumn id="5" xr3:uid="{23B225EB-85B7-4B40-BDF5-7842C4C2BC46}" name="ANTAL" dataDxfId="833"/>
    <tableColumn id="6" xr3:uid="{F2D52588-6643-48D8-83EF-1F2C99627A55}" name="GRUPP/LAG/SKOLA/ETC." dataDxfId="832"/>
  </tableColumns>
  <tableStyleInfo name="Hallbokningsschema 2" showFirstColumn="0" showLastColumn="0" showRowStripes="0" showColumnStripes="0"/>
</table>
</file>

<file path=xl/tables/table2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4F8C5BD5-78B4-457E-94B5-B649021B1AE8}" name="Tabell639465360818895102109116123" displayName="Tabell639465360818895102109116123" ref="A29:F30" totalsRowShown="0" headerRowDxfId="831" dataDxfId="830">
  <autoFilter ref="A29:F30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85997C3-439A-451E-BC2E-B1B5BC554ED6}" name="DAG" dataDxfId="829">
      <calculatedColumnFormula>PROPER(TEXT(B30, "dddd"))</calculatedColumnFormula>
    </tableColumn>
    <tableColumn id="2" xr3:uid="{1994BB4D-33CA-401C-AC78-0F1FCDD89514}" name="DATUM" dataDxfId="828">
      <calculatedColumnFormula>Lördag42</calculatedColumnFormula>
    </tableColumn>
    <tableColumn id="3" xr3:uid="{933D85C8-85B2-49EB-BEE7-1AA6CC30D29A}" name="Tid1" dataDxfId="827"/>
    <tableColumn id="4" xr3:uid="{2FF88F03-8FC8-4681-8729-877FFADB8E56}" name="TID" dataDxfId="826"/>
    <tableColumn id="5" xr3:uid="{FA1BE202-FFA1-4E39-8542-713B85FC0829}" name="ANTAL" dataDxfId="825"/>
    <tableColumn id="6" xr3:uid="{A855027B-7DD3-4CB9-BD7A-486BAEC858CE}" name="GRUPP/LAG/SKOLA/ETC." dataDxfId="824"/>
  </tableColumns>
  <tableStyleInfo name="Hallbokningsschema 2" showFirstColumn="0" showLastColumn="0" showRowStripes="0" showColumnStripes="0"/>
</table>
</file>

<file path=xl/tables/table2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B0FF5D62-F7D0-4659-9844-0FA5A47498E0}" name="Tabell740475461828996103110117124" displayName="Tabell740475461828996103110117124" ref="A31:F32" totalsRowShown="0" headerRowDxfId="823" dataDxfId="822">
  <autoFilter ref="A31:F32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6CC5709-1C2D-4FCD-ADDB-2BACCF7C8FA6}" name="DAG" dataDxfId="821">
      <calculatedColumnFormula>PROPER(TEXT(B32, "dddd"))</calculatedColumnFormula>
    </tableColumn>
    <tableColumn id="2" xr3:uid="{872EC35C-D7BF-404C-B41B-B8037BE69049}" name="DATUM" dataDxfId="820">
      <calculatedColumnFormula>Söndag42</calculatedColumnFormula>
    </tableColumn>
    <tableColumn id="3" xr3:uid="{D798E7C0-7087-497E-99BB-3DE06E5C1305}" name="Tid1" dataDxfId="819"/>
    <tableColumn id="4" xr3:uid="{EAB9AAD4-B017-4329-897E-303F925A27E9}" name="TID" dataDxfId="818"/>
    <tableColumn id="5" xr3:uid="{F6E29B15-B5D9-4B6A-822F-65B6B16F0672}" name="ANTAL" dataDxfId="817"/>
    <tableColumn id="6" xr3:uid="{EECE5EE8-F511-419B-B17E-D1BA5867E317}" name="GRUPP/LAG/SKOLA/ETC." dataDxfId="816"/>
  </tableColumns>
  <tableStyleInfo name="Hallbokningsschema 2" showFirstColumn="0" showLastColumn="0" showRowStripes="0" showColumnStripes="0"/>
</table>
</file>

<file path=xl/tables/table2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3A66E81-BB29-4FA6-8986-EA7613605535}" name="Tabell13441485576839097104111" displayName="Tabell13441485576839097104111" ref="A2:F4" totalsRowShown="0" headerRowDxfId="795" dataDxfId="794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3:F4">
    <sortCondition ref="C3:C4"/>
  </sortState>
  <tableColumns count="6">
    <tableColumn id="1" xr3:uid="{E498558F-7E2F-4273-9913-D7FF0997F4AA}" name="DAG" dataDxfId="793">
      <calculatedColumnFormula>PROPER(TEXT(B3, "dddd"))</calculatedColumnFormula>
    </tableColumn>
    <tableColumn id="2" xr3:uid="{5D433D12-6ACD-4F86-9137-7615C1FBDBB1}" name="DATUM" dataDxfId="792">
      <calculatedColumnFormula>Måndag43</calculatedColumnFormula>
    </tableColumn>
    <tableColumn id="3" xr3:uid="{2B925992-F529-4FC9-B185-DBE38CBE640C}" name="Tid1" dataDxfId="791"/>
    <tableColumn id="4" xr3:uid="{A9660E8D-70F5-4CBF-A633-A7F7A7776275}" name="TID" dataDxfId="790"/>
    <tableColumn id="5" xr3:uid="{137266DF-7AE3-4DB3-B21F-A91C1F74A880}" name="ANTAL" dataDxfId="789"/>
    <tableColumn id="6" xr3:uid="{F2A23D81-013E-467B-929C-A39AADC71330}" name="GRUPP/LAG/SKOLA/ETC." dataDxfId="788"/>
  </tableColumns>
  <tableStyleInfo name="Hallbokningsschema 2" showFirstColumn="0" showLastColumn="0" showRowStripes="0" showColumnStripes="0"/>
</table>
</file>

<file path=xl/tables/table2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4A1901C9-36B5-4C44-BD17-F5FB92CB5D0D}" name="Tabell23542495677849198105112" displayName="Tabell23542495677849198105112" ref="A5:F10" totalsRowShown="0" headerRowDxfId="787" dataDxfId="786">
  <autoFilter ref="A5:F10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6:F10">
    <sortCondition ref="C6:C10"/>
  </sortState>
  <tableColumns count="6">
    <tableColumn id="1" xr3:uid="{777ED83D-3B45-4E5B-9854-4405BDE37A21}" name="DAG" dataDxfId="785">
      <calculatedColumnFormula>PROPER(TEXT(B6, "dddd"))</calculatedColumnFormula>
    </tableColumn>
    <tableColumn id="2" xr3:uid="{3B88E201-C67B-4C76-90C6-7CF05E395E94}" name="DATUM" dataDxfId="784">
      <calculatedColumnFormula>Tisdag43</calculatedColumnFormula>
    </tableColumn>
    <tableColumn id="3" xr3:uid="{F7BCC598-5C96-4D33-8E33-345464BE8A7B}" name="Tid1" dataDxfId="783"/>
    <tableColumn id="4" xr3:uid="{3E95C4CD-651F-48F2-B15D-095FA3B840B5}" name="TID" dataDxfId="782"/>
    <tableColumn id="5" xr3:uid="{AD1F9CB7-608B-48B2-8443-342FC1D27AD6}" name="ANTAL" dataDxfId="781"/>
    <tableColumn id="6" xr3:uid="{EDDC140C-3790-413A-BD05-717636EF1CD4}" name="GRUPP/LAG/SKOLA/ETC." dataDxfId="780"/>
  </tableColumns>
  <tableStyleInfo name="Hallbokningsschema 2" showFirstColumn="0" showLastColumn="0" showRowStripes="0" showColumnStripes="0"/>
</table>
</file>

<file path=xl/tables/table2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714D8DC1-92A0-4459-B02B-40BEFF4981A1}" name="Tabell33643505778859299106113" displayName="Tabell33643505778859299106113" ref="A11:F16" totalsRowShown="0" headerRowDxfId="779" dataDxfId="778">
  <autoFilter ref="A11:F16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2:F16">
    <sortCondition ref="C12:C16"/>
  </sortState>
  <tableColumns count="6">
    <tableColumn id="1" xr3:uid="{58015A3A-2E36-4C1B-BDCE-3C38958BDC3F}" name="DAG" dataDxfId="777">
      <calculatedColumnFormula>PROPER(TEXT(B12, "dddd"))</calculatedColumnFormula>
    </tableColumn>
    <tableColumn id="2" xr3:uid="{E35A7DDC-6EB1-425E-9CA1-1DDD267D1597}" name="DATUM" dataDxfId="776">
      <calculatedColumnFormula>Onsdag43</calculatedColumnFormula>
    </tableColumn>
    <tableColumn id="3" xr3:uid="{E3F94D72-F440-468E-87B8-70CB1F9F6D15}" name="Tid1" dataDxfId="775"/>
    <tableColumn id="4" xr3:uid="{7C80C2BC-29D1-4F8E-A38A-67C97843B739}" name="TID" dataDxfId="774"/>
    <tableColumn id="5" xr3:uid="{C4D84C9E-7459-41A2-BCA9-12D859066371}" name="ANTAL" dataDxfId="773"/>
    <tableColumn id="6" xr3:uid="{60773213-CBF2-46E3-96C6-F2CA4BFEB596}" name="GRUPP/LAG/SKOLA/ETC." dataDxfId="772"/>
  </tableColumns>
  <tableStyleInfo name="Hallbokningsschema 2" showFirstColumn="0" showLastColumn="0" showRowStripes="0" showColumnStripes="0"/>
</table>
</file>

<file path=xl/tables/table2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32D8ED1B-BFB3-431E-ADFC-2CE8CF1E29DC}" name="Tabell437445158798693100107114" displayName="Tabell437445158798693100107114" ref="A17:F22" totalsRowShown="0" headerRowDxfId="771" dataDxfId="770">
  <autoFilter ref="A17:F22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8:F22">
    <sortCondition ref="C18:C22"/>
  </sortState>
  <tableColumns count="6">
    <tableColumn id="1" xr3:uid="{D2F1717A-C74E-4228-8054-BBBA8486CBFB}" name="DAG" dataDxfId="769">
      <calculatedColumnFormula>PROPER(TEXT(B18, "dddd"))</calculatedColumnFormula>
    </tableColumn>
    <tableColumn id="2" xr3:uid="{2D9142B0-92C7-4312-8069-A90803577EAE}" name="DATUM" dataDxfId="768">
      <calculatedColumnFormula>Torsdag43</calculatedColumnFormula>
    </tableColumn>
    <tableColumn id="3" xr3:uid="{1680CC59-21D7-41EE-B8AF-5D6BBEA6FF69}" name="Tid1" dataDxfId="767"/>
    <tableColumn id="4" xr3:uid="{CB928500-1CBD-42AA-B09F-2D409A879B66}" name="TID" dataDxfId="766"/>
    <tableColumn id="5" xr3:uid="{E2B65010-01F9-4870-813C-2FE68008A132}" name="ANTAL" dataDxfId="765"/>
    <tableColumn id="6" xr3:uid="{0AEB8371-2CC5-4526-9062-E47F16B60F2F}" name="GRUPP/LAG/SKOLA/ETC." dataDxfId="764"/>
  </tableColumns>
  <tableStyleInfo name="Hallbokningsschema 2" showFirstColumn="0" showLastColumn="0" showRowStripes="0" showColumnStripes="0"/>
</table>
</file>

<file path=xl/tables/table2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738F290F-9AA8-4C6A-BCB6-4D7A4BF49041}" name="Tabell538455259808794101108115" displayName="Tabell538455259808794101108115" ref="A23:F28" totalsRowShown="0" headerRowDxfId="763" dataDxfId="762">
  <autoFilter ref="A23:F28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24:F28">
    <sortCondition ref="C24:C28"/>
  </sortState>
  <tableColumns count="6">
    <tableColumn id="1" xr3:uid="{5CD55B65-BF59-43E1-8BE4-936B468C18ED}" name="DAG" dataDxfId="761">
      <calculatedColumnFormula>PROPER(TEXT(B24, "dddd"))</calculatedColumnFormula>
    </tableColumn>
    <tableColumn id="2" xr3:uid="{9DBCBAAC-1629-4AF7-ABD4-689F29A36260}" name="DATUM" dataDxfId="760">
      <calculatedColumnFormula>Fredag43</calculatedColumnFormula>
    </tableColumn>
    <tableColumn id="3" xr3:uid="{98AC32B6-1BD5-4AF7-9B5F-DF4EA10EB61B}" name="Tid1" dataDxfId="759"/>
    <tableColumn id="4" xr3:uid="{5BC84DC5-1D40-48DD-A219-2D8F2AA25810}" name="TID" dataDxfId="758"/>
    <tableColumn id="5" xr3:uid="{5F40E523-B4AD-4C6A-9960-09CE38EB54E6}" name="ANTAL" dataDxfId="757"/>
    <tableColumn id="6" xr3:uid="{0800DA16-2032-483A-AF03-F969ACB56187}" name="GRUPP/LAG/SKOLA/ETC." dataDxfId="756"/>
  </tableColumns>
  <tableStyleInfo name="Hallbokningsschema 2" showFirstColumn="0" showLastColumn="0" showRowStripes="0" showColumnStripes="0"/>
</table>
</file>

<file path=xl/tables/table3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6D1EE8C4-1A07-42CA-9384-A6AF5455586B}" name="Tabell639465360818895102109116" displayName="Tabell639465360818895102109116" ref="A29:F30" totalsRowShown="0" headerRowDxfId="755" dataDxfId="754">
  <autoFilter ref="A29:F30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282699D-6255-4930-885E-6B8A865D8313}" name="DAG" dataDxfId="753">
      <calculatedColumnFormula>PROPER(TEXT(B30, "dddd"))</calculatedColumnFormula>
    </tableColumn>
    <tableColumn id="2" xr3:uid="{37D5CF1A-2D2D-4E93-9B00-B88D2F7264AA}" name="DATUM" dataDxfId="752">
      <calculatedColumnFormula>Lördag43</calculatedColumnFormula>
    </tableColumn>
    <tableColumn id="3" xr3:uid="{1903FEF3-4885-44EE-9F7A-A416FE47F69B}" name="Tid1" dataDxfId="751"/>
    <tableColumn id="4" xr3:uid="{1EC37578-7FFA-4ED6-A527-5D2174E42B33}" name="TID" dataDxfId="750"/>
    <tableColumn id="5" xr3:uid="{F0DC9142-B328-4EF8-83E1-E06E77D12E09}" name="ANTAL" dataDxfId="749"/>
    <tableColumn id="6" xr3:uid="{3A336A92-BCB1-49A5-8006-0E4E55062651}" name="GRUPP/LAG/SKOLA/ETC." dataDxfId="748"/>
  </tableColumns>
  <tableStyleInfo name="Hallbokningsschema 2" showFirstColumn="0" showLastColumn="0" showRowStripes="0" showColumnStripes="0"/>
</table>
</file>

<file path=xl/tables/table3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351A96B2-0B79-42F2-B7CA-91F384B0477E}" name="Tabell740475461828996103110117" displayName="Tabell740475461828996103110117" ref="A31:F32" totalsRowShown="0" headerRowDxfId="747" dataDxfId="746">
  <autoFilter ref="A31:F32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9571E56-756B-4BF5-8D15-A01CB29A876A}" name="DAG" dataDxfId="745">
      <calculatedColumnFormula>PROPER(TEXT(B32, "dddd"))</calculatedColumnFormula>
    </tableColumn>
    <tableColumn id="2" xr3:uid="{62858A65-B343-4EF3-957F-0E3C5A5B3CE6}" name="DATUM" dataDxfId="744">
      <calculatedColumnFormula>Söndag43</calculatedColumnFormula>
    </tableColumn>
    <tableColumn id="3" xr3:uid="{B2DB1D29-FE32-4F0C-AFD7-ADF117CA626A}" name="Tid1" dataDxfId="743"/>
    <tableColumn id="4" xr3:uid="{757CC8FF-0DF8-4574-8752-9293FEC29718}" name="TID" dataDxfId="742"/>
    <tableColumn id="5" xr3:uid="{5ABFAF2D-24FC-45A8-B029-424B746A902F}" name="ANTAL" dataDxfId="741"/>
    <tableColumn id="6" xr3:uid="{72DED061-F72B-44BA-AD2F-80360365B5E2}" name="GRUPP/LAG/SKOLA/ETC." dataDxfId="740"/>
  </tableColumns>
  <tableStyleInfo name="Hallbokningsschema 2" showFirstColumn="0" showLastColumn="0" showRowStripes="0" showColumnStripes="0"/>
</table>
</file>

<file path=xl/tables/table3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91948EC0-A751-4EC9-A9D1-28397F7D5B36}" name="Tabell13441485576839097104" displayName="Tabell13441485576839097104" ref="A2:F3" totalsRowShown="0" headerRowDxfId="723" dataDxfId="722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D13740B-299C-488B-A89D-C45E15D807EF}" name="DAG" dataDxfId="721">
      <calculatedColumnFormula>PROPER(TEXT(B3, "dddd"))</calculatedColumnFormula>
    </tableColumn>
    <tableColumn id="2" xr3:uid="{C382C51B-CB9E-454C-9FF1-7E1311E071C0}" name="DATUM" dataDxfId="720">
      <calculatedColumnFormula>Måndag44</calculatedColumnFormula>
    </tableColumn>
    <tableColumn id="3" xr3:uid="{E69F2E80-CAD5-41E7-9BDC-D9B603D8A28A}" name="Tid1" dataDxfId="719"/>
    <tableColumn id="4" xr3:uid="{E84C9963-C657-4911-A83A-C0B11712764B}" name="TID" dataDxfId="718"/>
    <tableColumn id="5" xr3:uid="{FC5AF6C3-D465-4807-9852-E2D82F47037F}" name="ANTAL" dataDxfId="717"/>
    <tableColumn id="6" xr3:uid="{3B4C7995-CFA6-4A72-8D0F-EBC8C019088B}" name="GRUPP/LAG/SKOLA/ETC." dataDxfId="716"/>
  </tableColumns>
  <tableStyleInfo name="Hallbokningsschema 2" showFirstColumn="0" showLastColumn="0" showRowStripes="0" showColumnStripes="0"/>
</table>
</file>

<file path=xl/tables/table3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1224CEF5-2089-42E5-8C21-3B10A0A5A952}" name="Tabell23542495677849198105" displayName="Tabell23542495677849198105" ref="A4:F8" totalsRowShown="0" headerRowDxfId="715" dataDxfId="714">
  <autoFilter ref="A4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302359F-9B69-44B9-980D-CDB5CDCB1783}" name="DAG" dataDxfId="713">
      <calculatedColumnFormula>PROPER(TEXT(B5, "dddd"))</calculatedColumnFormula>
    </tableColumn>
    <tableColumn id="2" xr3:uid="{60FA0081-485E-4428-86EA-8DD9DD78675B}" name="DATUM" dataDxfId="712">
      <calculatedColumnFormula>Tisdag44</calculatedColumnFormula>
    </tableColumn>
    <tableColumn id="3" xr3:uid="{93BD82A2-D8D2-44E4-B77A-90A66AB12457}" name="Tid1" dataDxfId="711"/>
    <tableColumn id="4" xr3:uid="{EB746EC7-D20A-4764-9CB9-6CCEB9B8A019}" name="TID" dataDxfId="710"/>
    <tableColumn id="5" xr3:uid="{C2BAB589-116A-4220-A9E8-751EF436A466}" name="ANTAL" dataDxfId="709"/>
    <tableColumn id="6" xr3:uid="{C233A832-9DA8-44EA-A2AD-48B090BB8C94}" name="GRUPP/LAG/SKOLA/ETC." dataDxfId="708"/>
  </tableColumns>
  <tableStyleInfo name="Hallbokningsschema 2" showFirstColumn="0" showLastColumn="0" showRowStripes="0" showColumnStripes="0"/>
</table>
</file>

<file path=xl/tables/table3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610CF26C-6E56-402E-8964-8FC49675B417}" name="Tabell33643505778859299106" displayName="Tabell33643505778859299106" ref="A9:F14" totalsRowShown="0" headerRowDxfId="707" dataDxfId="706">
  <autoFilter ref="A9:F14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4">
    <sortCondition ref="C10:C14"/>
  </sortState>
  <tableColumns count="6">
    <tableColumn id="1" xr3:uid="{320FA989-9BAE-482B-9B7B-BD6523DC5823}" name="DAG" dataDxfId="705">
      <calculatedColumnFormula>PROPER(TEXT(B10, "dddd"))</calculatedColumnFormula>
    </tableColumn>
    <tableColumn id="2" xr3:uid="{17217898-7B50-4D8D-B56B-4A5D1B21AF50}" name="DATUM" dataDxfId="704">
      <calculatedColumnFormula>Onsdag44</calculatedColumnFormula>
    </tableColumn>
    <tableColumn id="3" xr3:uid="{4B8F361C-7C32-4B03-B80B-BB46BE0604B6}" name="Tid1" dataDxfId="703"/>
    <tableColumn id="4" xr3:uid="{DEEFB6FA-444C-43BD-8049-707EE2F60EE8}" name="TID" dataDxfId="702"/>
    <tableColumn id="5" xr3:uid="{1F57913B-D194-4E88-9008-D903F0A01DAD}" name="ANTAL" dataDxfId="701"/>
    <tableColumn id="6" xr3:uid="{1CF565E9-65DD-47A4-878F-A68229C46A3A}" name="GRUPP/LAG/SKOLA/ETC." dataDxfId="700"/>
  </tableColumns>
  <tableStyleInfo name="Hallbokningsschema 2" showFirstColumn="0" showLastColumn="0" showRowStripes="0" showColumnStripes="0"/>
</table>
</file>

<file path=xl/tables/table3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7294FF7F-791D-4FFE-845C-369716AB4E99}" name="Tabell437445158798693100107" displayName="Tabell437445158798693100107" ref="A15:F19" totalsRowShown="0" headerRowDxfId="699" dataDxfId="698">
  <autoFilter ref="A15:F1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40400B8-F5AF-496A-A30D-BF2CFAA0EAFB}" name="DAG" dataDxfId="697">
      <calculatedColumnFormula>PROPER(TEXT(B16, "dddd"))</calculatedColumnFormula>
    </tableColumn>
    <tableColumn id="2" xr3:uid="{ACB1F793-4CDC-499C-9D65-F70318F32A8B}" name="DATUM" dataDxfId="696">
      <calculatedColumnFormula>Torsdag44</calculatedColumnFormula>
    </tableColumn>
    <tableColumn id="3" xr3:uid="{D83E6FF9-FA88-4822-BA8F-FAA4A5341217}" name="Tid1" dataDxfId="695"/>
    <tableColumn id="4" xr3:uid="{7696963B-FFF8-45A2-84AC-9D4203699779}" name="TID" dataDxfId="694"/>
    <tableColumn id="5" xr3:uid="{FB706834-EE08-4184-9780-5EB58D683947}" name="ANTAL" dataDxfId="693"/>
    <tableColumn id="6" xr3:uid="{E8D80B15-06C1-47F5-9617-B69D24DE2DAE}" name="GRUPP/LAG/SKOLA/ETC." dataDxfId="692"/>
  </tableColumns>
  <tableStyleInfo name="Hallbokningsschema 2" showFirstColumn="0" showLastColumn="0" showRowStripes="0" showColumnStripes="0"/>
</table>
</file>

<file path=xl/tables/table3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E5CB4212-FB19-4786-AD80-3C56A90B4ECD}" name="Tabell538455259808794101108" displayName="Tabell538455259808794101108" ref="A20:F24" totalsRowShown="0" headerRowDxfId="691" dataDxfId="690">
  <autoFilter ref="A20:F24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A611858-ECCD-40D3-9765-A74F5FDA8F9F}" name="DAG" dataDxfId="689">
      <calculatedColumnFormula>PROPER(TEXT(B21, "dddd"))</calculatedColumnFormula>
    </tableColumn>
    <tableColumn id="2" xr3:uid="{004974ED-DDA2-4EF9-9894-7FC0734B07A6}" name="DATUM" dataDxfId="688">
      <calculatedColumnFormula>Fredag44</calculatedColumnFormula>
    </tableColumn>
    <tableColumn id="3" xr3:uid="{C4178B93-7B97-4598-9BC6-4865720E10EF}" name="Tid1" dataDxfId="687"/>
    <tableColumn id="4" xr3:uid="{AB775069-1453-4F35-8286-AE74D9FD2EEE}" name="TID" dataDxfId="686"/>
    <tableColumn id="5" xr3:uid="{2B4F60DC-ADAD-4113-BC62-A4E93C5E9D2F}" name="ANTAL" dataDxfId="685"/>
    <tableColumn id="6" xr3:uid="{8C407EA3-4EF0-4E34-A0AA-74BCF01FA19A}" name="GRUPP/LAG/SKOLA/ETC." dataDxfId="684"/>
  </tableColumns>
  <tableStyleInfo name="Hallbokningsschema 2" showFirstColumn="0" showLastColumn="0" showRowStripes="0" showColumnStripes="0"/>
</table>
</file>

<file path=xl/tables/table3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15890E06-9B8C-4386-83E9-C7BAD8576821}" name="Tabell639465360818895102109" displayName="Tabell639465360818895102109" ref="A25:F26" totalsRowShown="0" headerRowDxfId="683" dataDxfId="682">
  <autoFilter ref="A25:F26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C26D8B0-4741-46A9-B877-F4F731D0FBDF}" name="DAG" dataDxfId="681">
      <calculatedColumnFormula>PROPER(TEXT(B26, "dddd"))</calculatedColumnFormula>
    </tableColumn>
    <tableColumn id="2" xr3:uid="{6E680666-00B2-4E77-A129-A6032E20081A}" name="DATUM" dataDxfId="680">
      <calculatedColumnFormula>Lördag44</calculatedColumnFormula>
    </tableColumn>
    <tableColumn id="3" xr3:uid="{F9C37017-F6AF-486B-8558-586442230CD2}" name="Tid1" dataDxfId="679"/>
    <tableColumn id="4" xr3:uid="{AE28D8E8-D8EE-49A8-8740-725F48C87CD5}" name="TID" dataDxfId="678"/>
    <tableColumn id="5" xr3:uid="{4D1FD033-4B31-4FC8-9B8D-3CD51B211756}" name="ANTAL" dataDxfId="677"/>
    <tableColumn id="6" xr3:uid="{EA27C80E-0317-4FC6-9175-F8DEA2DC02DB}" name="GRUPP/LAG/SKOLA/ETC." dataDxfId="676"/>
  </tableColumns>
  <tableStyleInfo name="Hallbokningsschema 2" showFirstColumn="0" showLastColumn="0" showRowStripes="0" showColumnStripes="0"/>
</table>
</file>

<file path=xl/tables/table3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6491F961-4095-4E68-909A-9C1965B85A9E}" name="Tabell740475461828996103110" displayName="Tabell740475461828996103110" ref="A27:F28" totalsRowShown="0" headerRowDxfId="675" dataDxfId="674">
  <autoFilter ref="A27:F28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DCFD016-07F6-432B-AD11-D12DD1B790F7}" name="DAG" dataDxfId="673">
      <calculatedColumnFormula>PROPER(TEXT(B28, "dddd"))</calculatedColumnFormula>
    </tableColumn>
    <tableColumn id="2" xr3:uid="{FF359C1E-73D5-4397-BAC8-05729E06CEF6}" name="DATUM" dataDxfId="672">
      <calculatedColumnFormula>Söndag44</calculatedColumnFormula>
    </tableColumn>
    <tableColumn id="3" xr3:uid="{D42D3588-CF57-48C7-87A8-678D22554EBC}" name="Tid1" dataDxfId="671"/>
    <tableColumn id="4" xr3:uid="{09D219A9-12D3-4C66-B479-8F2C87874228}" name="TID" dataDxfId="670"/>
    <tableColumn id="5" xr3:uid="{BDDBA333-8CEA-4966-ADB6-A01F73ECD6F4}" name="ANTAL" dataDxfId="669"/>
    <tableColumn id="6" xr3:uid="{656F3FB2-B400-4968-AD18-EBA39D5271A4}" name="GRUPP/LAG/SKOLA/ETC." dataDxfId="668"/>
  </tableColumns>
  <tableStyleInfo name="Hallbokningsschema 2" showFirstColumn="0" showLastColumn="0" showRowStripes="0" showColumnStripes="0"/>
</table>
</file>

<file path=xl/tables/table3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915F0C2-E076-4C27-B51B-BB67A0648B3D}" name="Tabell13441485576839097" displayName="Tabell13441485576839097" ref="A2:F4" totalsRowShown="0" headerRowDxfId="651" dataDxfId="650">
  <autoFilter ref="A2:F4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C748BB3-D600-4892-82B7-56E64B1FFFAB}" name="DAG" dataDxfId="649">
      <calculatedColumnFormula>PROPER(TEXT(B3, "dddd"))</calculatedColumnFormula>
    </tableColumn>
    <tableColumn id="2" xr3:uid="{36083E22-1D30-485B-A520-934055C18CF9}" name="DATUM" dataDxfId="648">
      <calculatedColumnFormula>Måndag45</calculatedColumnFormula>
    </tableColumn>
    <tableColumn id="3" xr3:uid="{482F18DE-43DA-4945-B0DC-BD87037473F6}" name="Tid1" dataDxfId="647"/>
    <tableColumn id="4" xr3:uid="{24F6DF99-13B6-4209-8C92-6BD64BA2896E}" name="TID" dataDxfId="646"/>
    <tableColumn id="5" xr3:uid="{E55E3BA7-A1C0-46EC-802E-05DAB6C03109}" name="ANTAL" dataDxfId="645"/>
    <tableColumn id="6" xr3:uid="{B554B2A5-538C-4BCF-8692-7C3872BD7ADE}" name="GRUPP/LAG/SKOLA/ETC." dataDxfId="644"/>
  </tableColumns>
  <tableStyleInfo name="Hallbokningsschema 2" showFirstColumn="0" showLastColumn="0" showRowStripes="0" showColumnStripes="0"/>
</table>
</file>

<file path=xl/tables/table3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2FD71184-4917-43F2-B16F-D1ECEE89DB5F}" name="Tabell23542495677849198" displayName="Tabell23542495677849198" ref="A5:F10" totalsRowShown="0" headerRowDxfId="643" dataDxfId="642">
  <autoFilter ref="A5:F10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937188D-A922-45F4-BEA1-AFD4982764F8}" name="DAG" dataDxfId="641">
      <calculatedColumnFormula>PROPER(TEXT(B6, "dddd"))</calculatedColumnFormula>
    </tableColumn>
    <tableColumn id="2" xr3:uid="{7A64AA5E-3068-4E0B-A0F6-291A235E98F1}" name="DATUM" dataDxfId="640">
      <calculatedColumnFormula>Tisdag45</calculatedColumnFormula>
    </tableColumn>
    <tableColumn id="3" xr3:uid="{AF940E6B-F53D-49C3-9F62-E3C5D086116E}" name="Tid1" dataDxfId="639"/>
    <tableColumn id="4" xr3:uid="{DFED3CC9-7503-4791-97F8-3A26E0D70B7D}" name="TID" dataDxfId="638"/>
    <tableColumn id="5" xr3:uid="{D75EEFCD-7576-4790-A497-28151FC5095D}" name="ANTAL" dataDxfId="637"/>
    <tableColumn id="6" xr3:uid="{2389F3FB-665A-4AE3-99D0-C804697EDBC6}" name="GRUPP/LAG/SKOLA/ETC." dataDxfId="636"/>
  </tableColumns>
  <tableStyleInfo name="Hallbokningsschema 2" showFirstColumn="0" showLastColumn="0" showRowStripes="0" showColumnStripes="0"/>
</table>
</file>

<file path=xl/tables/table3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427D1C74-508E-4186-8021-8CD0E077342A}" name="Tabell33643505778859299" displayName="Tabell33643505778859299" ref="A11:F17" totalsRowShown="0" headerRowDxfId="635" dataDxfId="634">
  <autoFilter ref="A11:F1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2:F17">
    <sortCondition ref="C12:C17"/>
  </sortState>
  <tableColumns count="6">
    <tableColumn id="1" xr3:uid="{8D7CF545-7E58-405A-BB65-0CB89B33C50B}" name="DAG" dataDxfId="633">
      <calculatedColumnFormula>PROPER(TEXT(B12, "dddd"))</calculatedColumnFormula>
    </tableColumn>
    <tableColumn id="2" xr3:uid="{21CB94D1-25CC-479A-A239-459D5E7BEE58}" name="DATUM" dataDxfId="632">
      <calculatedColumnFormula>Onsdag45</calculatedColumnFormula>
    </tableColumn>
    <tableColumn id="3" xr3:uid="{B5A53DE8-2187-4290-A7E7-0091DD7A2886}" name="Tid1" dataDxfId="631"/>
    <tableColumn id="4" xr3:uid="{1C473AA3-57A0-4E10-AD6E-00F863C99AF8}" name="TID" dataDxfId="630"/>
    <tableColumn id="5" xr3:uid="{52C5CE70-793A-4EAD-B4AB-33773CA1C057}" name="ANTAL" dataDxfId="629"/>
    <tableColumn id="6" xr3:uid="{CCE0B119-CDF5-487B-8B0B-51C9CE2CE4ED}" name="GRUPP/LAG/SKOLA/ETC." dataDxfId="628"/>
  </tableColumns>
  <tableStyleInfo name="Hallbokningsschema 2" showFirstColumn="0" showLastColumn="0" showRowStripes="0" showColumnStripes="0"/>
</table>
</file>

<file path=xl/tables/table3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B75F6405-37ED-4B7B-A9ED-6E87F79DC9D2}" name="Tabell437445158798693100" displayName="Tabell437445158798693100" ref="A18:F22" totalsRowShown="0" headerRowDxfId="627" dataDxfId="626">
  <autoFilter ref="A18:F22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2BCFE96-4EC7-4144-9DEB-708FD53697D3}" name="DAG" dataDxfId="625">
      <calculatedColumnFormula>PROPER(TEXT(B19, "dddd"))</calculatedColumnFormula>
    </tableColumn>
    <tableColumn id="2" xr3:uid="{B31BBF90-01AE-4817-B0C7-2493DCF94CAF}" name="DATUM" dataDxfId="624">
      <calculatedColumnFormula>Torsdag45</calculatedColumnFormula>
    </tableColumn>
    <tableColumn id="3" xr3:uid="{F115DFCE-85B6-4E6A-8673-9135E0C04771}" name="Tid1" dataDxfId="623"/>
    <tableColumn id="4" xr3:uid="{2E459E00-6507-429B-92F8-8564C3E66AA3}" name="TID" dataDxfId="622"/>
    <tableColumn id="5" xr3:uid="{7FE4E18A-E240-47C9-9316-66058B922969}" name="ANTAL" dataDxfId="621"/>
    <tableColumn id="6" xr3:uid="{EE129587-B7D8-4E39-ABAC-22E1B9061E49}" name="GRUPP/LAG/SKOLA/ETC." dataDxfId="620"/>
  </tableColumns>
  <tableStyleInfo name="Hallbokningsschema 2" showFirstColumn="0" showLastColumn="0" showRowStripes="0" showColumnStripes="0"/>
</table>
</file>

<file path=xl/tables/table3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85CCC9B6-A153-4B72-B19F-610A28351975}" name="Tabell538455259808794101" displayName="Tabell538455259808794101" ref="A23:F27" totalsRowShown="0" headerRowDxfId="619" dataDxfId="618">
  <autoFilter ref="A23:F27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A2AF075-BD86-42D6-A75F-DDB3766CCF19}" name="DAG" dataDxfId="617">
      <calculatedColumnFormula>PROPER(TEXT(B24, "dddd"))</calculatedColumnFormula>
    </tableColumn>
    <tableColumn id="2" xr3:uid="{8C6CC991-5127-4FD4-A45B-0980F6ABB5BD}" name="DATUM" dataDxfId="616">
      <calculatedColumnFormula>Fredag45</calculatedColumnFormula>
    </tableColumn>
    <tableColumn id="3" xr3:uid="{5AD84FA4-F456-43D6-B35F-892389C9E10F}" name="Tid1" dataDxfId="615"/>
    <tableColumn id="4" xr3:uid="{2B89341A-A492-4181-865A-58164CF9A163}" name="TID" dataDxfId="614"/>
    <tableColumn id="5" xr3:uid="{A44BAE9B-45A7-4470-B22D-6B029C78824F}" name="ANTAL" dataDxfId="613"/>
    <tableColumn id="6" xr3:uid="{3D4842DC-C2B0-492A-A1DA-48C0B43ED71F}" name="GRUPP/LAG/SKOLA/ETC." dataDxfId="612"/>
  </tableColumns>
  <tableStyleInfo name="Hallbokningsschema 2" showFirstColumn="0" showLastColumn="0" showRowStripes="0" showColumnStripes="0"/>
</table>
</file>

<file path=xl/tables/table3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C1665374-025C-455D-960A-DE45C18F3E11}" name="Tabell639465360818895102" displayName="Tabell639465360818895102" ref="A28:F30" totalsRowShown="0" headerRowDxfId="611" dataDxfId="610">
  <autoFilter ref="A28:F30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F949802-D3A9-4002-8584-9736D5916AB4}" name="DAG" dataDxfId="609">
      <calculatedColumnFormula>PROPER(TEXT(B29, "dddd"))</calculatedColumnFormula>
    </tableColumn>
    <tableColumn id="2" xr3:uid="{16EF592F-B7C2-4E4B-BE29-72D86ECF7347}" name="DATUM" dataDxfId="608">
      <calculatedColumnFormula>Lördag45</calculatedColumnFormula>
    </tableColumn>
    <tableColumn id="3" xr3:uid="{C477B1FA-2A9A-4467-B80B-2A11428BC4D4}" name="Tid1" dataDxfId="607"/>
    <tableColumn id="4" xr3:uid="{145743DE-B0F0-49A3-A94A-9897D372617C}" name="TID" dataDxfId="606"/>
    <tableColumn id="5" xr3:uid="{6C189433-B8C5-4316-8CE3-B1C3FC4B5C10}" name="ANTAL" dataDxfId="605"/>
    <tableColumn id="6" xr3:uid="{7B31C6D3-25F0-4032-8020-9EE190E82575}" name="GRUPP/LAG/SKOLA/ETC." dataDxfId="604"/>
  </tableColumns>
  <tableStyleInfo name="Hallbokningsschema 2" showFirstColumn="0" showLastColumn="0" showRowStripes="0" showColumnStripes="0"/>
</table>
</file>

<file path=xl/tables/table3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95FBC630-38BA-48D0-90E1-A79F9A9FDF31}" name="Tabell740475461828996103" displayName="Tabell740475461828996103" ref="A31:F33" totalsRowShown="0" headerRowDxfId="603" dataDxfId="602">
  <autoFilter ref="A31:F33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D3D8C2A-7DAB-44DB-BAA6-87951CC1A46C}" name="DAG" dataDxfId="601">
      <calculatedColumnFormula>PROPER(TEXT(B32, "dddd"))</calculatedColumnFormula>
    </tableColumn>
    <tableColumn id="2" xr3:uid="{88FE9E91-5978-4586-9208-DCC07DEAB884}" name="DATUM" dataDxfId="600">
      <calculatedColumnFormula>Söndag45</calculatedColumnFormula>
    </tableColumn>
    <tableColumn id="3" xr3:uid="{7D2BC037-A83D-4701-84DC-3EB6BA598FD3}" name="Tid1" dataDxfId="599"/>
    <tableColumn id="4" xr3:uid="{5E193E46-0CB4-489F-8200-0AA0BFEC48F5}" name="TID" dataDxfId="598"/>
    <tableColumn id="5" xr3:uid="{8FBDEE50-68B3-419B-927B-3A350D2F57E7}" name="ANTAL" dataDxfId="597"/>
    <tableColumn id="6" xr3:uid="{E87054A8-B546-4EAD-B879-EDAEA1148154}" name="GRUPP/LAG/SKOLA/ETC." dataDxfId="596"/>
  </tableColumns>
  <tableStyleInfo name="Hallbokningsschema 2" showFirstColumn="0" showLastColumn="0" showRowStripes="0" showColumnStripes="0"/>
</table>
</file>

<file path=xl/tables/table3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E0B95CC0-3C04-4ED1-A209-BB90D5E124EB}" name="Tabell134414855768390" displayName="Tabell134414855768390" ref="A2:F3" totalsRowShown="0" headerRowDxfId="579" dataDxfId="578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5309597-EFC7-4B70-956D-F64024D33900}" name="DAG" dataDxfId="577">
      <calculatedColumnFormula>PROPER(TEXT(B3, "dddd"))</calculatedColumnFormula>
    </tableColumn>
    <tableColumn id="2" xr3:uid="{07739692-68C8-481B-B1CB-4052316A5948}" name="DATUM" dataDxfId="576">
      <calculatedColumnFormula>Måndag46</calculatedColumnFormula>
    </tableColumn>
    <tableColumn id="3" xr3:uid="{95CE04E8-B063-45CB-87A7-CF3BC97D6C7C}" name="Tid1" dataDxfId="575"/>
    <tableColumn id="4" xr3:uid="{714DD133-F843-4803-938C-EB88D134EFC3}" name="TID" dataDxfId="574"/>
    <tableColumn id="5" xr3:uid="{AB42F039-5279-484B-AAEE-EC82246C474C}" name="ANTAL" dataDxfId="573"/>
    <tableColumn id="6" xr3:uid="{5ED25FD7-58A5-4693-9983-6197E639D6D8}" name="GRUPP/LAG/SKOLA/ETC." dataDxfId="572"/>
  </tableColumns>
  <tableStyleInfo name="Hallbokningsschema 2" showFirstColumn="0" showLastColumn="0" showRowStripes="0" showColumnStripes="0"/>
</table>
</file>

<file path=xl/tables/table3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387DFA76-B04B-41CF-80DC-DE3F1493BA22}" name="Tabell235424956778491" displayName="Tabell235424956778491" ref="A4:F8" totalsRowShown="0" headerRowDxfId="571" dataDxfId="570">
  <autoFilter ref="A4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7562725-6892-4206-82CD-852507CE0EEC}" name="DAG" dataDxfId="569">
      <calculatedColumnFormula>PROPER(TEXT(B5, "dddd"))</calculatedColumnFormula>
    </tableColumn>
    <tableColumn id="2" xr3:uid="{E7922D39-0DB3-4E01-A2DD-EABF10585EBF}" name="DATUM" dataDxfId="568">
      <calculatedColumnFormula>Tisdag46</calculatedColumnFormula>
    </tableColumn>
    <tableColumn id="3" xr3:uid="{31C1726F-915A-489B-95C0-F37477E1B197}" name="Tid1" dataDxfId="567"/>
    <tableColumn id="4" xr3:uid="{544CB2D4-8D0A-478F-9965-CB30E83B9C87}" name="TID" dataDxfId="566"/>
    <tableColumn id="5" xr3:uid="{28563C5B-40EB-43DE-9C7B-0038F83E0D9B}" name="ANTAL" dataDxfId="565"/>
    <tableColumn id="6" xr3:uid="{C9144E1B-6B3A-4139-9CE4-B0213D9C47BD}" name="GRUPP/LAG/SKOLA/ETC." dataDxfId="564"/>
  </tableColumns>
  <tableStyleInfo name="Hallbokningsschema 2" showFirstColumn="0" showLastColumn="0" showRowStripes="0" showColumnStripes="0"/>
</table>
</file>

<file path=xl/tables/table3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3A0675F3-4CC6-4579-A09A-C13F4E057240}" name="Tabell336435057788592" displayName="Tabell336435057788592" ref="A9:F14" totalsRowShown="0" headerRowDxfId="563" dataDxfId="562">
  <autoFilter ref="A9:F14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4">
    <sortCondition ref="C10:C14"/>
  </sortState>
  <tableColumns count="6">
    <tableColumn id="1" xr3:uid="{912B69C4-594D-4812-BB07-CD7A56D180C0}" name="DAG" dataDxfId="561">
      <calculatedColumnFormula>PROPER(TEXT(B10, "dddd"))</calculatedColumnFormula>
    </tableColumn>
    <tableColumn id="2" xr3:uid="{3C0E8E78-FC30-49CA-A16E-BC817ABBE308}" name="DATUM" dataDxfId="560">
      <calculatedColumnFormula>Onsdag46</calculatedColumnFormula>
    </tableColumn>
    <tableColumn id="3" xr3:uid="{1F7436F1-79E0-4EA5-AA9F-7F2ED63F8E0D}" name="Tid1" dataDxfId="559"/>
    <tableColumn id="4" xr3:uid="{D92E694C-6C9C-4729-BC42-2628EBD73B50}" name="TID" dataDxfId="558"/>
    <tableColumn id="5" xr3:uid="{AEF68DF0-5158-4DEB-B2A1-809FD0B3B23F}" name="ANTAL" dataDxfId="557"/>
    <tableColumn id="6" xr3:uid="{91675E42-558E-4123-95C3-A9F954A05F4D}" name="GRUPP/LAG/SKOLA/ETC." dataDxfId="556"/>
  </tableColumns>
  <tableStyleInfo name="Hallbokningsschema 2" showFirstColumn="0" showLastColumn="0" showRowStripes="0" showColumnStripes="0"/>
</table>
</file>

<file path=xl/tables/table3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175E1455-1A69-4008-A806-C6D3A7D7B31B}" name="Tabell437445158798693" displayName="Tabell437445158798693" ref="A15:F19" totalsRowShown="0" headerRowDxfId="555" dataDxfId="554">
  <autoFilter ref="A15:F1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BDF5F70-E589-4269-B05B-E2D5492A1231}" name="DAG" dataDxfId="553">
      <calculatedColumnFormula>PROPER(TEXT(B16, "dddd"))</calculatedColumnFormula>
    </tableColumn>
    <tableColumn id="2" xr3:uid="{FF1EF382-4389-4885-8B29-84D2851029A9}" name="DATUM" dataDxfId="552">
      <calculatedColumnFormula>Torsdag46</calculatedColumnFormula>
    </tableColumn>
    <tableColumn id="3" xr3:uid="{3CF3946E-3A5C-48ED-940E-A5B2DB3CC74C}" name="Tid1" dataDxfId="551"/>
    <tableColumn id="4" xr3:uid="{B4277CB3-BC2A-490C-BB32-1CD74121129B}" name="TID" dataDxfId="550"/>
    <tableColumn id="5" xr3:uid="{F51FB3C4-EF49-44B7-8C27-FB3EE94C6DC0}" name="ANTAL" dataDxfId="549"/>
    <tableColumn id="6" xr3:uid="{977A7374-AEE0-4F45-A1D4-35C9B4F2C9AA}" name="GRUPP/LAG/SKOLA/ETC." dataDxfId="548"/>
  </tableColumns>
  <tableStyleInfo name="Hallbokningsschema 2" showFirstColumn="0" showLastColumn="0" showRowStripes="0" showColumnStripes="0"/>
</table>
</file>

<file path=xl/tables/table3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403AF610-5551-4374-B41E-864AF30ADF5D}" name="Tabell538455259808794" displayName="Tabell538455259808794" ref="A20:F24" totalsRowShown="0" headerRowDxfId="547" dataDxfId="546">
  <autoFilter ref="A20:F24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A41152F-16FD-4ED7-85FD-0ABD3A1C51DF}" name="DAG" dataDxfId="545">
      <calculatedColumnFormula>PROPER(TEXT(B21, "dddd"))</calculatedColumnFormula>
    </tableColumn>
    <tableColumn id="2" xr3:uid="{7E3178D9-3077-4CD3-B55F-1AB63453621F}" name="DATUM" dataDxfId="544">
      <calculatedColumnFormula>Fredag46</calculatedColumnFormula>
    </tableColumn>
    <tableColumn id="3" xr3:uid="{D002F170-1E86-4138-A4B1-4D3379C1D92D}" name="Tid1" dataDxfId="543"/>
    <tableColumn id="4" xr3:uid="{4ACE7742-3BA6-4FD6-9470-137161D37232}" name="TID" dataDxfId="542"/>
    <tableColumn id="5" xr3:uid="{05A1E6BE-EC14-45F0-ADC3-D3E8FBEFA5AE}" name="ANTAL" dataDxfId="541"/>
    <tableColumn id="6" xr3:uid="{125F2803-A653-4CF9-89DA-581E7543F945}" name="GRUPP/LAG/SKOLA/ETC." dataDxfId="540"/>
  </tableColumns>
  <tableStyleInfo name="Hallbokningsschema 2" showFirstColumn="0" showLastColumn="0" showRowStripes="0" showColumnStripes="0"/>
</table>
</file>

<file path=xl/tables/table3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AC6C7DC5-5F69-4F44-869A-47C60FF4718D}" name="Tabell639465360818895" displayName="Tabell639465360818895" ref="A25:F26" totalsRowShown="0" headerRowDxfId="539" dataDxfId="538">
  <autoFilter ref="A25:F26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F6FC878-E3D5-4512-8871-21574DF3D11C}" name="DAG" dataDxfId="537">
      <calculatedColumnFormula>PROPER(TEXT(B26, "dddd"))</calculatedColumnFormula>
    </tableColumn>
    <tableColumn id="2" xr3:uid="{142D4E95-4DB9-4D75-B507-C48F011A9619}" name="DATUM" dataDxfId="536">
      <calculatedColumnFormula>Lördag46</calculatedColumnFormula>
    </tableColumn>
    <tableColumn id="3" xr3:uid="{85C7EF87-9EE5-4371-B70A-2AC6CF182C48}" name="Tid1" dataDxfId="535"/>
    <tableColumn id="4" xr3:uid="{143A348E-75EF-43FF-A6B4-24C41503897D}" name="TID" dataDxfId="534"/>
    <tableColumn id="5" xr3:uid="{186B0323-1D18-4E52-97F8-D89AB2C8C87D}" name="ANTAL" dataDxfId="533"/>
    <tableColumn id="6" xr3:uid="{AF1D2D19-E012-457F-83CD-A16B218155D5}" name="GRUPP/LAG/SKOLA/ETC." dataDxfId="532"/>
  </tableColumns>
  <tableStyleInfo name="Hallbokningsschema 2" showFirstColumn="0" showLastColumn="0" showRowStripes="0" showColumnStripes="0"/>
</table>
</file>

<file path=xl/tables/table3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AD1DB3F9-CE4B-47D5-A765-906ADCC01B70}" name="Tabell740475461828996" displayName="Tabell740475461828996" ref="A27:F28" totalsRowShown="0" headerRowDxfId="531" dataDxfId="530">
  <autoFilter ref="A27:F28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126AB6E-C01E-473A-9F5B-43AB0FE35166}" name="DAG" dataDxfId="529">
      <calculatedColumnFormula>PROPER(TEXT(B28, "dddd"))</calculatedColumnFormula>
    </tableColumn>
    <tableColumn id="2" xr3:uid="{F1E253DC-C2EF-46A1-AB36-8AB687DF476B}" name="DATUM" dataDxfId="528">
      <calculatedColumnFormula>Söndag46</calculatedColumnFormula>
    </tableColumn>
    <tableColumn id="3" xr3:uid="{4A35F7EB-6AAA-44BE-958C-68E0E1BAB170}" name="Tid1" dataDxfId="527"/>
    <tableColumn id="4" xr3:uid="{18BF313B-F4D1-46F0-83AD-880B46AF12C2}" name="TID" dataDxfId="526"/>
    <tableColumn id="5" xr3:uid="{FEA11A8C-D4F1-4C3B-9463-26A0AD68D2F0}" name="ANTAL" dataDxfId="525"/>
    <tableColumn id="6" xr3:uid="{63146A23-AE37-4DAC-B486-7BE4A85FB7BB}" name="GRUPP/LAG/SKOLA/ETC." dataDxfId="524"/>
  </tableColumns>
  <tableStyleInfo name="Hallbokningsschema 2" showFirstColumn="0" showLastColumn="0" showRowStripes="0" showColumnStripes="0"/>
</table>
</file>

<file path=xl/tables/table3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C9C0DC9C-E9CE-4CBD-ABD5-7A759A30E89C}" name="Tabell1344148557683" displayName="Tabell1344148557683" ref="A2:F3" totalsRowShown="0" headerRowDxfId="507" dataDxfId="506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AB5A3A6-F268-4F1E-8625-F196CFCC2BCF}" name="DAG" dataDxfId="505">
      <calculatedColumnFormula>PROPER(TEXT(B3, "dddd"))</calculatedColumnFormula>
    </tableColumn>
    <tableColumn id="2" xr3:uid="{83EEE0CA-E303-49C5-9F9E-7D2B223E66B3}" name="DATUM" dataDxfId="504">
      <calculatedColumnFormula>Måndag47</calculatedColumnFormula>
    </tableColumn>
    <tableColumn id="3" xr3:uid="{D02594BD-4D7F-4966-964A-09380197B5B9}" name="Tid1" dataDxfId="503"/>
    <tableColumn id="4" xr3:uid="{D6DA3CB1-4E6C-453C-A7AC-FF4E46CE0D36}" name="TID" dataDxfId="502"/>
    <tableColumn id="5" xr3:uid="{AFCBEF0B-D460-4D64-90E1-EEC1C6030550}" name="ANTAL" dataDxfId="501"/>
    <tableColumn id="6" xr3:uid="{FAB70FFC-3058-422A-827F-D3A0E9FC8A49}" name="GRUPP/LAG/SKOLA/ETC." dataDxfId="500"/>
  </tableColumns>
  <tableStyleInfo name="Hallbokningsschema 2" showFirstColumn="0" showLastColumn="0" showRowStripes="0" showColumnStripes="0"/>
</table>
</file>

<file path=xl/tables/table3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EF7EDE72-314D-430E-882A-5E2B5AE1407C}" name="Tabell2354249567784" displayName="Tabell2354249567784" ref="A4:F8" totalsRowShown="0" headerRowDxfId="499" dataDxfId="498">
  <autoFilter ref="A4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7715CF8-37C0-47B1-91E8-E3D83DED0462}" name="DAG" dataDxfId="497">
      <calculatedColumnFormula>PROPER(TEXT(B5, "dddd"))</calculatedColumnFormula>
    </tableColumn>
    <tableColumn id="2" xr3:uid="{67D956CB-DAE1-4115-ADC5-C93A1ABDDA90}" name="DATUM" dataDxfId="496">
      <calculatedColumnFormula>Tisdag47</calculatedColumnFormula>
    </tableColumn>
    <tableColumn id="3" xr3:uid="{31AC3142-29D9-45B0-BAB6-1F674F3F3DBE}" name="Tid1" dataDxfId="495"/>
    <tableColumn id="4" xr3:uid="{D155A518-3F56-45F1-A855-7A4251E0E71C}" name="TID" dataDxfId="494"/>
    <tableColumn id="5" xr3:uid="{D6553707-D474-4241-9272-E00EAAA3B172}" name="ANTAL" dataDxfId="493"/>
    <tableColumn id="6" xr3:uid="{CD2DB9D0-D8A7-42D3-9643-D601267A11F7}" name="GRUPP/LAG/SKOLA/ETC." dataDxfId="492"/>
  </tableColumns>
  <tableStyleInfo name="Hallbokningsschema 2" showFirstColumn="0" showLastColumn="0" showRowStripes="0" showColumnStripes="0"/>
</table>
</file>

<file path=xl/tables/table3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15A05E9F-C390-4214-A783-C852F99327AD}" name="Tabell3364350577885" displayName="Tabell3364350577885" ref="A9:F14" totalsRowShown="0" headerRowDxfId="491" dataDxfId="490">
  <autoFilter ref="A9:F14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4">
    <sortCondition ref="C10:C14"/>
  </sortState>
  <tableColumns count="6">
    <tableColumn id="1" xr3:uid="{E1B3F67F-A17C-452D-AE34-EF4DD83A2FAF}" name="DAG" dataDxfId="489">
      <calculatedColumnFormula>PROPER(TEXT(B10, "dddd"))</calculatedColumnFormula>
    </tableColumn>
    <tableColumn id="2" xr3:uid="{D9E56B1F-BDDA-4563-B158-ABCD0C897DE4}" name="DATUM" dataDxfId="488">
      <calculatedColumnFormula>Onsdag47</calculatedColumnFormula>
    </tableColumn>
    <tableColumn id="3" xr3:uid="{3C52ABBA-C72B-4562-83DC-31B3245D8C9E}" name="Tid1" dataDxfId="487"/>
    <tableColumn id="4" xr3:uid="{C766B6DE-F8BB-4C74-B02F-B61B558405C4}" name="TID" dataDxfId="486"/>
    <tableColumn id="5" xr3:uid="{F8C3BEA3-B438-4582-AB3D-1C6E3903262A}" name="ANTAL" dataDxfId="485"/>
    <tableColumn id="6" xr3:uid="{5F2100B0-7027-4B98-9D77-847BD698AEAB}" name="GRUPP/LAG/SKOLA/ETC." dataDxfId="484"/>
  </tableColumns>
  <tableStyleInfo name="Hallbokningsschema 2" showFirstColumn="0" showLastColumn="0" showRowStripes="0" showColumnStripes="0"/>
</table>
</file>

<file path=xl/tables/table3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707C8E19-85E9-4927-B57E-9AB8DF2AFE45}" name="Tabell4374451587986" displayName="Tabell4374451587986" ref="A15:F19" totalsRowShown="0" headerRowDxfId="483" dataDxfId="482">
  <autoFilter ref="A15:F1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7F8C996-C23D-499F-A2A6-B41FE6BE9CBE}" name="DAG" dataDxfId="481">
      <calculatedColumnFormula>PROPER(TEXT(B16, "dddd"))</calculatedColumnFormula>
    </tableColumn>
    <tableColumn id="2" xr3:uid="{6A17614D-2651-4122-A582-5EDDB9D5C27F}" name="DATUM" dataDxfId="480">
      <calculatedColumnFormula>Torsdag47</calculatedColumnFormula>
    </tableColumn>
    <tableColumn id="3" xr3:uid="{439873D3-284E-40A9-B329-AC1E53EB6FCB}" name="Tid1" dataDxfId="479"/>
    <tableColumn id="4" xr3:uid="{3512176C-9978-4AAD-BA61-6F08FA3CB0B5}" name="TID" dataDxfId="478"/>
    <tableColumn id="5" xr3:uid="{53A11116-1687-4E0A-8D0E-FD77BA192A4F}" name="ANTAL" dataDxfId="477"/>
    <tableColumn id="6" xr3:uid="{7698831A-B621-48C5-B387-11C98ECDE1FC}" name="GRUPP/LAG/SKOLA/ETC." dataDxfId="476"/>
  </tableColumns>
  <tableStyleInfo name="Hallbokningsschema 2" showFirstColumn="0" showLastColumn="0" showRowStripes="0" showColumnStripes="0"/>
</table>
</file>

<file path=xl/tables/table3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487E11C1-B9F6-4807-B24B-8A329CB561E9}" name="Tabell5384552598087" displayName="Tabell5384552598087" ref="A20:F24" totalsRowShown="0" headerRowDxfId="475" dataDxfId="474">
  <autoFilter ref="A20:F24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F68663A-E61B-478C-8044-26DEE67F19F6}" name="DAG" dataDxfId="473">
      <calculatedColumnFormula>PROPER(TEXT(B21, "dddd"))</calculatedColumnFormula>
    </tableColumn>
    <tableColumn id="2" xr3:uid="{D4FB5E09-361D-4663-B63F-46B3A85D6472}" name="DATUM" dataDxfId="472">
      <calculatedColumnFormula>Fredag47</calculatedColumnFormula>
    </tableColumn>
    <tableColumn id="3" xr3:uid="{88FBA3F6-B9A5-45B7-8DFD-2AD85BFC7821}" name="Tid1" dataDxfId="471"/>
    <tableColumn id="4" xr3:uid="{27984C8B-6D1B-4BE2-9142-EFF5192495A7}" name="TID" dataDxfId="470"/>
    <tableColumn id="5" xr3:uid="{8355D4AF-055C-4982-8E5C-76720D367584}" name="ANTAL" dataDxfId="469"/>
    <tableColumn id="6" xr3:uid="{8884B103-7027-40A4-A345-81A8B0382D7B}" name="GRUPP/LAG/SKOLA/ETC." dataDxfId="468"/>
  </tableColumns>
  <tableStyleInfo name="Hallbokningsschema 2" showFirstColumn="0" showLastColumn="0" showRowStripes="0" showColumnStripes="0"/>
</table>
</file>

<file path=xl/tables/table3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79C3C358-E68F-470F-BE22-1F128C1C8796}" name="Tabell6394653608188" displayName="Tabell6394653608188" ref="A25:F26" totalsRowShown="0" headerRowDxfId="467" dataDxfId="466">
  <autoFilter ref="A25:F26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83369B7-C103-4027-B5F0-5D6CE61F2BF7}" name="DAG" dataDxfId="465">
      <calculatedColumnFormula>PROPER(TEXT(B26, "dddd"))</calculatedColumnFormula>
    </tableColumn>
    <tableColumn id="2" xr3:uid="{340BE659-EB91-4917-9D07-C6468087CC84}" name="DATUM" dataDxfId="464">
      <calculatedColumnFormula>Lördag47</calculatedColumnFormula>
    </tableColumn>
    <tableColumn id="3" xr3:uid="{382C0458-0C51-45FA-98DC-A766017B3F9B}" name="Tid1" dataDxfId="463"/>
    <tableColumn id="4" xr3:uid="{27FBDECE-63E6-40D6-96A3-D8FEC875EB9B}" name="TID" dataDxfId="462"/>
    <tableColumn id="5" xr3:uid="{C768C9B8-2ADD-4955-B403-A7E06443EB55}" name="ANTAL" dataDxfId="461"/>
    <tableColumn id="6" xr3:uid="{42FA7AA8-87E9-46BF-8972-E158F970783D}" name="GRUPP/LAG/SKOLA/ETC." dataDxfId="460"/>
  </tableColumns>
  <tableStyleInfo name="Hallbokningsschema 2" showFirstColumn="0" showLastColumn="0" showRowStripes="0" showColumnStripes="0"/>
</table>
</file>

<file path=xl/tables/table3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ECDB9E6C-2AED-4AF4-A944-54D4E6B3337A}" name="Tabell7404754618289" displayName="Tabell7404754618289" ref="A27:F28" totalsRowShown="0" headerRowDxfId="459" dataDxfId="458">
  <autoFilter ref="A27:F28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C77EF16-B174-402C-960D-9220D6434521}" name="DAG" dataDxfId="457">
      <calculatedColumnFormula>PROPER(TEXT(B28, "dddd"))</calculatedColumnFormula>
    </tableColumn>
    <tableColumn id="2" xr3:uid="{3F00BEE9-17AF-4F5B-8723-B0B2198F2FEE}" name="DATUM" dataDxfId="456">
      <calculatedColumnFormula>Söndag47</calculatedColumnFormula>
    </tableColumn>
    <tableColumn id="3" xr3:uid="{BA10C8BE-B26D-45E1-8134-C06E48094CE1}" name="Tid1" dataDxfId="455"/>
    <tableColumn id="4" xr3:uid="{3DC898F8-5E04-4208-A45F-CFA8A8A2D0E0}" name="TID" dataDxfId="454"/>
    <tableColumn id="5" xr3:uid="{F40895C1-CF12-4A52-B120-5C66AACE7080}" name="ANTAL" dataDxfId="453"/>
    <tableColumn id="6" xr3:uid="{68F20EBD-9A01-404B-B19B-D607F70D9045}" name="GRUPP/LAG/SKOLA/ETC." dataDxfId="452"/>
  </tableColumns>
  <tableStyleInfo name="Hallbokningsschema 2" showFirstColumn="0" showLastColumn="0" showRowStripes="0" showColumnStripes="0"/>
</table>
</file>

<file path=xl/tables/table3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8DC1AC63-265C-4B4E-B7C1-D6AB8B36A2F4}" name="Tabell13441485576" displayName="Tabell13441485576" ref="A2:F3" totalsRowShown="0" headerRowDxfId="435" dataDxfId="434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397CD5B-512E-4FE1-B8E2-F277A0D284A5}" name="DAG" dataDxfId="433">
      <calculatedColumnFormula>PROPER(TEXT(B3, "dddd"))</calculatedColumnFormula>
    </tableColumn>
    <tableColumn id="2" xr3:uid="{A120EE04-4197-45DF-B7C7-F56C9FDC8FD6}" name="DATUM" dataDxfId="432">
      <calculatedColumnFormula>Måndag48</calculatedColumnFormula>
    </tableColumn>
    <tableColumn id="3" xr3:uid="{E5AE41B3-992F-4E19-9740-84819D4C7162}" name="Tid1" dataDxfId="431"/>
    <tableColumn id="4" xr3:uid="{BB480C5C-C489-4650-B1DD-17D176F38206}" name="TID" dataDxfId="430"/>
    <tableColumn id="5" xr3:uid="{91857733-09F0-44FE-88BE-F6FF77FE735A}" name="ANTAL" dataDxfId="429"/>
    <tableColumn id="6" xr3:uid="{D3AE3CCB-081E-4B6F-8E82-B26F777CB458}" name="GRUPP/LAG/SKOLA/ETC." dataDxfId="428"/>
  </tableColumns>
  <tableStyleInfo name="Hallbokningsschema 2" showFirstColumn="0" showLastColumn="0" showRowStripes="0" showColumnStripes="0"/>
</table>
</file>

<file path=xl/tables/table3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4F13E242-B372-4C93-83A9-244DEE07E337}" name="Tabell23542495677" displayName="Tabell23542495677" ref="A4:F8" totalsRowShown="0" headerRowDxfId="427" dataDxfId="426">
  <autoFilter ref="A4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AA448F4-6E6C-4C0A-A993-ECB880D1F5A9}" name="DAG" dataDxfId="425">
      <calculatedColumnFormula>PROPER(TEXT(B5, "dddd"))</calculatedColumnFormula>
    </tableColumn>
    <tableColumn id="2" xr3:uid="{737FAE5C-11CB-4241-9E85-38DB2667534D}" name="DATUM" dataDxfId="424">
      <calculatedColumnFormula>Tisdag48</calculatedColumnFormula>
    </tableColumn>
    <tableColumn id="3" xr3:uid="{E5E66C84-F140-49CD-8CE2-C9036411A643}" name="Tid1" dataDxfId="423"/>
    <tableColumn id="4" xr3:uid="{35A83239-F86B-4F32-9456-BF90F435CD60}" name="TID" dataDxfId="422"/>
    <tableColumn id="5" xr3:uid="{0E741DA0-A2BA-4FD9-9563-C03C88D67754}" name="ANTAL" dataDxfId="421"/>
    <tableColumn id="6" xr3:uid="{A6D93753-81FE-4DE2-B118-184EFE74AF08}" name="GRUPP/LAG/SKOLA/ETC." dataDxfId="420"/>
  </tableColumns>
  <tableStyleInfo name="Hallbokningsschema 2" showFirstColumn="0" showLastColumn="0" showRowStripes="0" showColumnStripes="0"/>
</table>
</file>

<file path=xl/tables/table3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F6100F0F-9550-4FD7-8A90-E4BD2DA5BB43}" name="Tabell33643505778" displayName="Tabell33643505778" ref="A9:F14" totalsRowShown="0" headerRowDxfId="419" dataDxfId="418">
  <autoFilter ref="A9:F14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4">
    <sortCondition ref="C10:C14"/>
  </sortState>
  <tableColumns count="6">
    <tableColumn id="1" xr3:uid="{4B777D89-DFB9-4B05-983D-D4E39252E2DE}" name="DAG" dataDxfId="417">
      <calculatedColumnFormula>PROPER(TEXT(B10, "dddd"))</calculatedColumnFormula>
    </tableColumn>
    <tableColumn id="2" xr3:uid="{3F619F38-DC2F-4C13-AE5F-2802D9997810}" name="DATUM" dataDxfId="416">
      <calculatedColumnFormula>Onsdag48</calculatedColumnFormula>
    </tableColumn>
    <tableColumn id="3" xr3:uid="{8D3B687E-BD53-401A-BAC9-B4EDAC57F70B}" name="Tid1" dataDxfId="415"/>
    <tableColumn id="4" xr3:uid="{5C2C81C7-2F2B-443D-98F2-00EB30794E60}" name="TID" dataDxfId="414"/>
    <tableColumn id="5" xr3:uid="{449C794E-5BA0-4CAA-9714-C631FA57E2E9}" name="ANTAL" dataDxfId="413"/>
    <tableColumn id="6" xr3:uid="{2CCB2525-5E76-42D1-B374-99A071D289B0}" name="GRUPP/LAG/SKOLA/ETC." dataDxfId="412"/>
  </tableColumns>
  <tableStyleInfo name="Hallbokningsschema 2" showFirstColumn="0" showLastColumn="0" showRowStripes="0" showColumnStripes="0"/>
</table>
</file>

<file path=xl/tables/table3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E16C94CF-3F99-4ED4-9A24-549361FB2D0F}" name="Tabell43744515879" displayName="Tabell43744515879" ref="A15:F19" totalsRowShown="0" headerRowDxfId="411" dataDxfId="410">
  <autoFilter ref="A15:F1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4FB53D4-B7CC-4D9E-A481-5C58CE99E148}" name="DAG" dataDxfId="409">
      <calculatedColumnFormula>PROPER(TEXT(B16, "dddd"))</calculatedColumnFormula>
    </tableColumn>
    <tableColumn id="2" xr3:uid="{770F400C-9812-4245-A2AF-E7E1A55505F7}" name="DATUM" dataDxfId="408">
      <calculatedColumnFormula>Torsdag48</calculatedColumnFormula>
    </tableColumn>
    <tableColumn id="3" xr3:uid="{91566AE9-74D7-4FC6-8F6B-5193B53C5609}" name="Tid1" dataDxfId="407"/>
    <tableColumn id="4" xr3:uid="{0E67A5A6-A5F0-4D07-91CC-A3107695CF36}" name="TID" dataDxfId="406"/>
    <tableColumn id="5" xr3:uid="{CFC98AAE-274C-4BD5-A9D7-26FB8F311E55}" name="ANTAL" dataDxfId="405"/>
    <tableColumn id="6" xr3:uid="{1C405DEB-88A9-447E-A6F9-26BE04C7D74B}" name="GRUPP/LAG/SKOLA/ETC." dataDxfId="404"/>
  </tableColumns>
  <tableStyleInfo name="Hallbokningsschema 2" showFirstColumn="0" showLastColumn="0" showRowStripes="0" showColumnStripes="0"/>
</table>
</file>

<file path=xl/tables/table3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4F73009A-F1A2-4605-AA45-055F4E5C504C}" name="Tabell53845525980" displayName="Tabell53845525980" ref="A20:F24" totalsRowShown="0" headerRowDxfId="403" dataDxfId="402">
  <autoFilter ref="A20:F24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08779F9-AB7E-43CB-87DD-7152E4525821}" name="DAG" dataDxfId="401">
      <calculatedColumnFormula>PROPER(TEXT(B21, "dddd"))</calculatedColumnFormula>
    </tableColumn>
    <tableColumn id="2" xr3:uid="{67AD8897-65B3-4AC6-890C-ABDF2F89CA0C}" name="DATUM" dataDxfId="400">
      <calculatedColumnFormula>Fredag48</calculatedColumnFormula>
    </tableColumn>
    <tableColumn id="3" xr3:uid="{608DFB94-9E79-4A44-A2A1-89C586FEABA5}" name="Tid1" dataDxfId="399"/>
    <tableColumn id="4" xr3:uid="{CE4289AD-4CC3-4189-B4F9-EB82B8C16FA5}" name="TID" dataDxfId="398"/>
    <tableColumn id="5" xr3:uid="{8A40DFA6-CEA1-40BE-A6E3-0FCE631656D3}" name="ANTAL" dataDxfId="397"/>
    <tableColumn id="6" xr3:uid="{0321E796-2B40-4814-86F5-077CC598D476}" name="GRUPP/LAG/SKOLA/ETC." dataDxfId="396"/>
  </tableColumns>
  <tableStyleInfo name="Hallbokningsschema 2" showFirstColumn="0" showLastColumn="0" showRowStripes="0" showColumnStripes="0"/>
</table>
</file>

<file path=xl/tables/table3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A8F7BE89-317B-477D-B175-06DE11E54BA7}" name="Tabell63946536081" displayName="Tabell63946536081" ref="A25:F26" totalsRowShown="0" headerRowDxfId="395" dataDxfId="394">
  <autoFilter ref="A25:F26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B3950BC-6D62-4D55-A831-88768DBA0316}" name="DAG" dataDxfId="393">
      <calculatedColumnFormula>PROPER(TEXT(B26, "dddd"))</calculatedColumnFormula>
    </tableColumn>
    <tableColumn id="2" xr3:uid="{32252B03-7D50-4220-851A-DC33F07B1A03}" name="DATUM" dataDxfId="392">
      <calculatedColumnFormula>Lördag48</calculatedColumnFormula>
    </tableColumn>
    <tableColumn id="3" xr3:uid="{B116A9D9-3266-4FF1-8AC5-27F3930AA262}" name="Tid1" dataDxfId="391"/>
    <tableColumn id="4" xr3:uid="{FD2F8DD0-A0FD-4B45-9737-D79E86D2DC49}" name="TID" dataDxfId="390"/>
    <tableColumn id="5" xr3:uid="{F40EC848-D429-4EEF-8408-63FC426EAC11}" name="ANTAL" dataDxfId="389"/>
    <tableColumn id="6" xr3:uid="{0182BCB4-F012-4050-9FF2-97530B1F8B6D}" name="GRUPP/LAG/SKOLA/ETC." dataDxfId="388"/>
  </tableColumns>
  <tableStyleInfo name="Hallbokningsschema 2" showFirstColumn="0" showLastColumn="0" showRowStripes="0" showColumnStripes="0"/>
</table>
</file>

<file path=xl/tables/table3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3BF759E2-583B-4594-BB5B-E0C869AE1BB6}" name="Tabell74047546182" displayName="Tabell74047546182" ref="A27:F28" totalsRowShown="0" headerRowDxfId="387" dataDxfId="386">
  <autoFilter ref="A27:F28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4E7A43A-8162-491A-8266-B4A3080FA528}" name="DAG" dataDxfId="385">
      <calculatedColumnFormula>PROPER(TEXT(B28, "dddd"))</calculatedColumnFormula>
    </tableColumn>
    <tableColumn id="2" xr3:uid="{BD5A0B02-06AA-4C4C-9580-51DB34F63ABB}" name="DATUM" dataDxfId="384">
      <calculatedColumnFormula>Söndag48</calculatedColumnFormula>
    </tableColumn>
    <tableColumn id="3" xr3:uid="{0D964599-547C-4942-8895-FA27D3C76A8A}" name="Tid1" dataDxfId="383"/>
    <tableColumn id="4" xr3:uid="{C3A2C16C-2924-4A56-A0C5-A3E657425872}" name="TID" dataDxfId="382"/>
    <tableColumn id="5" xr3:uid="{972BA6CF-38CF-4B90-A24D-90C4EE0E2487}" name="ANTAL" dataDxfId="381"/>
    <tableColumn id="6" xr3:uid="{DFFF9EF7-B65D-4399-90D4-52DEBD128CBD}" name="GRUPP/LAG/SKOLA/ETC." dataDxfId="380"/>
  </tableColumns>
  <tableStyleInfo name="Hallbokningsschema 2" showFirstColumn="0" showLastColumn="0" showRowStripes="0" showColumnStripes="0"/>
</table>
</file>

<file path=xl/tables/table3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45A880D-D785-482C-A9E5-4001A8C3422A}" name="Tabell134414855" displayName="Tabell134414855" ref="A2:F3" totalsRowShown="0" headerRowDxfId="363" dataDxfId="362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42712FA-0E8D-4022-ABF3-E8860D592CB4}" name="DAG" dataDxfId="361">
      <calculatedColumnFormula>PROPER(TEXT(B3, "dddd"))</calculatedColumnFormula>
    </tableColumn>
    <tableColumn id="2" xr3:uid="{193F19FA-8C3C-4D19-972C-7FB1DDB03C58}" name="DATUM" dataDxfId="360">
      <calculatedColumnFormula>Måndag49</calculatedColumnFormula>
    </tableColumn>
    <tableColumn id="3" xr3:uid="{3435A55C-F1E5-4F0C-A37B-E36D3E4A1787}" name="Tid1" dataDxfId="359"/>
    <tableColumn id="4" xr3:uid="{6EA31946-7A22-4E89-BD9B-8D3FF47FED04}" name="TID" dataDxfId="358"/>
    <tableColumn id="5" xr3:uid="{713B1A5E-FE8B-47E9-BCE3-2D6682F8F4AA}" name="ANTAL" dataDxfId="357"/>
    <tableColumn id="6" xr3:uid="{2B3F9ED9-6883-4576-84D4-1AC11D5D4F36}" name="GRUPP/LAG/SKOLA/ETC." dataDxfId="356"/>
  </tableColumns>
  <tableStyleInfo name="Hallbokningsschema 2" showFirstColumn="0" showLastColumn="0" showRowStripes="0" showColumnStripes="0"/>
</table>
</file>

<file path=xl/tables/table3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D7568C0-549C-4B84-B633-F0022F3FDA7A}" name="Tabell235424956" displayName="Tabell235424956" ref="A4:F8" totalsRowShown="0" headerRowDxfId="355" dataDxfId="354">
  <autoFilter ref="A4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F5040BA-657E-4F2E-8E22-3F4F88D9171A}" name="DAG" dataDxfId="353">
      <calculatedColumnFormula>PROPER(TEXT(B5, "dddd"))</calculatedColumnFormula>
    </tableColumn>
    <tableColumn id="2" xr3:uid="{478B5A66-2826-428C-8965-5FA66438C791}" name="DATUM" dataDxfId="352">
      <calculatedColumnFormula>Tisdag49</calculatedColumnFormula>
    </tableColumn>
    <tableColumn id="3" xr3:uid="{EA050884-586A-4068-954A-C6631E6F9CC1}" name="Tid1" dataDxfId="351"/>
    <tableColumn id="4" xr3:uid="{30EDAC69-B918-44A7-8DCF-40F2F1A18C71}" name="TID" dataDxfId="350"/>
    <tableColumn id="5" xr3:uid="{DF44F615-E453-40AF-A699-8EF1DB311EBA}" name="ANTAL" dataDxfId="349"/>
    <tableColumn id="6" xr3:uid="{0E63155F-A1DF-406E-8A9E-37DC91A84B11}" name="GRUPP/LAG/SKOLA/ETC." dataDxfId="348"/>
  </tableColumns>
  <tableStyleInfo name="Hallbokningsschema 2" showFirstColumn="0" showLastColumn="0" showRowStripes="0" showColumnStripes="0"/>
</table>
</file>

<file path=xl/tables/table3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A01E7CD-1DB4-475B-8261-58A3C13D51D1}" name="Tabell336435057" displayName="Tabell336435057" ref="A9:F14" totalsRowShown="0" headerRowDxfId="347" dataDxfId="346">
  <autoFilter ref="A9:F14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4">
    <sortCondition ref="C10:C14"/>
  </sortState>
  <tableColumns count="6">
    <tableColumn id="1" xr3:uid="{12328539-7703-4864-86B8-3FD5E7AA3CC5}" name="DAG" dataDxfId="345">
      <calculatedColumnFormula>PROPER(TEXT(B10, "dddd"))</calculatedColumnFormula>
    </tableColumn>
    <tableColumn id="2" xr3:uid="{5B6AEEEF-5412-4EF7-9304-1AD824536307}" name="DATUM" dataDxfId="344">
      <calculatedColumnFormula>Onsdag49</calculatedColumnFormula>
    </tableColumn>
    <tableColumn id="3" xr3:uid="{60EB50C3-5FCA-407A-9B32-4DBE05289B3F}" name="Tid1" dataDxfId="343"/>
    <tableColumn id="4" xr3:uid="{EA472D55-805C-42E6-92C2-2629C3889276}" name="TID" dataDxfId="342"/>
    <tableColumn id="5" xr3:uid="{7F95921D-F56F-4DC5-BE67-3B8C08CF7009}" name="ANTAL" dataDxfId="341"/>
    <tableColumn id="6" xr3:uid="{150E6E1F-32F4-46E3-B766-22EAC2E02A04}" name="GRUPP/LAG/SKOLA/ETC." dataDxfId="340"/>
  </tableColumns>
  <tableStyleInfo name="Hallbokningsschema 2" showFirstColumn="0" showLastColumn="0" showRowStripes="0" showColumnStripes="0"/>
</table>
</file>

<file path=xl/tables/table3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F143EFC-8B1C-4336-90EC-5E43231B0FD4}" name="Tabell437445158" displayName="Tabell437445158" ref="A15:F19" totalsRowShown="0" headerRowDxfId="339" dataDxfId="338">
  <autoFilter ref="A15:F1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9E5D176-BD0B-4D87-A786-F18FF6CB49E6}" name="DAG" dataDxfId="337">
      <calculatedColumnFormula>PROPER(TEXT(B16, "dddd"))</calculatedColumnFormula>
    </tableColumn>
    <tableColumn id="2" xr3:uid="{DCF6BEEB-0C59-461F-AA51-C4C2B1BD0055}" name="DATUM" dataDxfId="336">
      <calculatedColumnFormula>Torsdag49</calculatedColumnFormula>
    </tableColumn>
    <tableColumn id="3" xr3:uid="{76D1ADC5-AE81-4BC0-A210-D414E1ED5938}" name="Tid1" dataDxfId="335"/>
    <tableColumn id="4" xr3:uid="{6CC31993-A278-4666-82F6-E3FB8B7D1EE1}" name="TID" dataDxfId="334"/>
    <tableColumn id="5" xr3:uid="{F5B3297B-AAEE-46FE-878B-74050C2583C6}" name="ANTAL" dataDxfId="333"/>
    <tableColumn id="6" xr3:uid="{79DABC11-CA2B-4A40-9CA7-FC717976B395}" name="GRUPP/LAG/SKOLA/ETC." dataDxfId="332"/>
  </tableColumns>
  <tableStyleInfo name="Hallbokningsschema 2" showFirstColumn="0" showLastColumn="0" showRowStripes="0" showColumnStripes="0"/>
</table>
</file>

<file path=xl/tables/table3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BA71E6B-5BDE-4F73-A753-85F4145B7A45}" name="Tabell538455259" displayName="Tabell538455259" ref="A20:F24" totalsRowShown="0" headerRowDxfId="331" dataDxfId="330">
  <autoFilter ref="A20:F24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127F625-B726-450F-8874-E18C3C231DFD}" name="DAG" dataDxfId="329">
      <calculatedColumnFormula>PROPER(TEXT(B21, "dddd"))</calculatedColumnFormula>
    </tableColumn>
    <tableColumn id="2" xr3:uid="{D3C7256C-0E3C-4B21-AA5F-16FA410E27EC}" name="DATUM" dataDxfId="328">
      <calculatedColumnFormula>Fredag49</calculatedColumnFormula>
    </tableColumn>
    <tableColumn id="3" xr3:uid="{435D2F46-5122-49D0-A305-4E69A2FA7AF0}" name="Tid1" dataDxfId="327"/>
    <tableColumn id="4" xr3:uid="{23B278BA-9A7B-4ABE-8D64-C7C8CA8B4569}" name="TID" dataDxfId="326"/>
    <tableColumn id="5" xr3:uid="{C2DEDC33-EEC9-4BE5-83E8-073714D373D3}" name="ANTAL" dataDxfId="325"/>
    <tableColumn id="6" xr3:uid="{208C3208-C7B1-4D2B-B11B-E24740BE86A8}" name="GRUPP/LAG/SKOLA/ETC." dataDxfId="324"/>
  </tableColumns>
  <tableStyleInfo name="Hallbokningsschema 2" showFirstColumn="0" showLastColumn="0" showRowStripes="0" showColumnStripes="0"/>
</table>
</file>

<file path=xl/tables/table3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54309CD-104B-443D-B705-E50D38A22484}" name="Tabell639465360" displayName="Tabell639465360" ref="A25:F26" totalsRowShown="0" headerRowDxfId="323" dataDxfId="322">
  <autoFilter ref="A25:F26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A019EA2-3FC9-449A-A67A-2E7585AA5EA4}" name="DAG" dataDxfId="321">
      <calculatedColumnFormula>PROPER(TEXT(B26, "dddd"))</calculatedColumnFormula>
    </tableColumn>
    <tableColumn id="2" xr3:uid="{DF093A57-3775-4C06-8BF9-B471F9BAB470}" name="DATUM" dataDxfId="320">
      <calculatedColumnFormula>Lördag49</calculatedColumnFormula>
    </tableColumn>
    <tableColumn id="3" xr3:uid="{E1F0437C-236F-4B19-91B6-179331D94766}" name="Tid1" dataDxfId="319"/>
    <tableColumn id="4" xr3:uid="{12DEDD9C-70A5-4C63-9898-D785808E0402}" name="TID" dataDxfId="318"/>
    <tableColumn id="5" xr3:uid="{A7D1B01F-69A1-45F8-B1CF-D9B4B02B8A2B}" name="ANTAL" dataDxfId="317"/>
    <tableColumn id="6" xr3:uid="{45CBBB53-8A80-475A-B96A-214D20BC9D18}" name="GRUPP/LAG/SKOLA/ETC." dataDxfId="316"/>
  </tableColumns>
  <tableStyleInfo name="Hallbokningsschema 2" showFirstColumn="0" showLastColumn="0" showRowStripes="0" showColumnStripes="0"/>
</table>
</file>

<file path=xl/tables/table3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2AD6C25-7ACF-4B81-BEF8-9E7975B87D11}" name="Tabell740475461" displayName="Tabell740475461" ref="A27:F28" totalsRowShown="0" headerRowDxfId="315" dataDxfId="314">
  <autoFilter ref="A27:F28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73F34AD-F22F-47B4-B305-49D3720E2A7A}" name="DAG" dataDxfId="313">
      <calculatedColumnFormula>PROPER(TEXT(B28, "dddd"))</calculatedColumnFormula>
    </tableColumn>
    <tableColumn id="2" xr3:uid="{1B44D032-2F24-40B9-B443-C01C22BB82CD}" name="DATUM" dataDxfId="312">
      <calculatedColumnFormula>Söndag49</calculatedColumnFormula>
    </tableColumn>
    <tableColumn id="3" xr3:uid="{1FD776F7-B49C-4DCC-B999-A3AC774BC502}" name="Tid1" dataDxfId="311"/>
    <tableColumn id="4" xr3:uid="{2CED445C-9F88-42DD-8076-38BCDAE8293B}" name="TID" dataDxfId="310"/>
    <tableColumn id="5" xr3:uid="{05DEA599-A0A4-4D9A-9712-A123C8E79797}" name="ANTAL" dataDxfId="309"/>
    <tableColumn id="6" xr3:uid="{EF23E3A8-6B5A-4F4C-BB03-F43787C30C7F}" name="GRUPP/LAG/SKOLA/ETC." dataDxfId="308"/>
  </tableColumns>
  <tableStyleInfo name="Hallbokningsschema 2" showFirstColumn="0" showLastColumn="0" showRowStripes="0" showColumnStripes="0"/>
</table>
</file>

<file path=xl/tables/table3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12DA45F-C464-43B6-AD41-E6CBD91B2521}" name="Tabell1344148" displayName="Tabell1344148" ref="A2:F3" totalsRowShown="0" headerRowDxfId="291" dataDxfId="290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9E66D5E-B1F5-47F9-9E6C-EBF269D45C70}" name="DAG" dataDxfId="289">
      <calculatedColumnFormula>PROPER(TEXT(B3, "dddd"))</calculatedColumnFormula>
    </tableColumn>
    <tableColumn id="2" xr3:uid="{18FACDC9-9E81-4B8D-B0B2-507E90BB5F95}" name="DATUM" dataDxfId="288">
      <calculatedColumnFormula>Måndag50</calculatedColumnFormula>
    </tableColumn>
    <tableColumn id="3" xr3:uid="{53124B36-CFB7-4280-9DA9-89B58B1DF8CA}" name="Tid1" dataDxfId="287"/>
    <tableColumn id="4" xr3:uid="{B2D65147-4F15-4911-95BD-849912D411E1}" name="TID" dataDxfId="286"/>
    <tableColumn id="5" xr3:uid="{8A992214-C3E5-4F1A-B5BE-10A0BE6264C8}" name="ANTAL" dataDxfId="285"/>
    <tableColumn id="6" xr3:uid="{D6501619-1A9E-4549-B10D-AE0293F1E262}" name="GRUPP/LAG/SKOLA/ETC." dataDxfId="284"/>
  </tableColumns>
  <tableStyleInfo name="Hallbokningsschema 2" showFirstColumn="0" showLastColumn="0" showRowStripes="0" showColumnStripes="0"/>
</table>
</file>

<file path=xl/tables/table3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F8287441-9783-453E-95B4-636E8D625FAA}" name="Tabell2354249" displayName="Tabell2354249" ref="A4:F8" totalsRowShown="0" headerRowDxfId="283" dataDxfId="282">
  <autoFilter ref="A4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7DFF9D8-3FC6-4A76-86CE-16F8293F0059}" name="DAG" dataDxfId="281">
      <calculatedColumnFormula>PROPER(TEXT(B5, "dddd"))</calculatedColumnFormula>
    </tableColumn>
    <tableColumn id="2" xr3:uid="{52A75CD0-C5BB-4D2D-A2D7-CFDCED5931E9}" name="DATUM" dataDxfId="280">
      <calculatedColumnFormula>Tisdag50</calculatedColumnFormula>
    </tableColumn>
    <tableColumn id="3" xr3:uid="{E006AD47-7B0E-44BC-B44B-C3BAA8F47FD8}" name="Tid1" dataDxfId="279"/>
    <tableColumn id="4" xr3:uid="{08CFFB31-CA54-4885-89DF-CDE4099B9E83}" name="TID" dataDxfId="278"/>
    <tableColumn id="5" xr3:uid="{E0296AF0-2A52-49E8-9727-DC9D9BC305E0}" name="ANTAL" dataDxfId="277"/>
    <tableColumn id="6" xr3:uid="{B6CFCDE1-AE66-4794-9791-800B684D0DC0}" name="GRUPP/LAG/SKOLA/ETC." dataDxfId="276"/>
  </tableColumns>
  <tableStyleInfo name="Hallbokningsschema 2" showFirstColumn="0" showLastColumn="0" showRowStripes="0" showColumnStripes="0"/>
</table>
</file>

<file path=xl/tables/table3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63A54C3-1C37-4317-8367-DD385012F805}" name="Tabell3364350" displayName="Tabell3364350" ref="A9:F14" totalsRowShown="0" headerRowDxfId="275" dataDxfId="274">
  <autoFilter ref="A9:F14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4">
    <sortCondition ref="C10:C14"/>
  </sortState>
  <tableColumns count="6">
    <tableColumn id="1" xr3:uid="{AE3439D1-7DF9-48B9-915F-BE631A330733}" name="DAG" dataDxfId="273">
      <calculatedColumnFormula>PROPER(TEXT(B10, "dddd"))</calculatedColumnFormula>
    </tableColumn>
    <tableColumn id="2" xr3:uid="{2E170F75-FC0A-4115-B091-FBB311AA0B49}" name="DATUM" dataDxfId="272">
      <calculatedColumnFormula>Onsdag50</calculatedColumnFormula>
    </tableColumn>
    <tableColumn id="3" xr3:uid="{0AD4E434-1925-477C-9FF7-5CC98012713B}" name="Tid1" dataDxfId="271"/>
    <tableColumn id="4" xr3:uid="{7B0B6990-EA49-4196-B9CB-51B5DBAA694A}" name="TID" dataDxfId="270"/>
    <tableColumn id="5" xr3:uid="{580AF8BC-3F03-4FBD-9B17-12D79F7C8A21}" name="ANTAL" dataDxfId="269"/>
    <tableColumn id="6" xr3:uid="{9F24F447-8DDE-4797-95F5-9A4EAC3F8DDA}" name="GRUPP/LAG/SKOLA/ETC." dataDxfId="268"/>
  </tableColumns>
  <tableStyleInfo name="Hallbokningsschema 2" showFirstColumn="0" showLastColumn="0" showRowStripes="0" showColumnStripes="0"/>
</table>
</file>

<file path=xl/tables/table3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3CD3C4C-47D5-49C9-B09A-F29525A5940C}" name="Tabell4374451" displayName="Tabell4374451" ref="A15:F19" totalsRowShown="0" headerRowDxfId="267" dataDxfId="266">
  <autoFilter ref="A15:F1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1661EFC-1419-4D16-B858-963FCE9C7822}" name="DAG" dataDxfId="265">
      <calculatedColumnFormula>PROPER(TEXT(B16, "dddd"))</calculatedColumnFormula>
    </tableColumn>
    <tableColumn id="2" xr3:uid="{D05C7E63-C08A-4063-ABD9-59D2450A03DB}" name="DATUM" dataDxfId="264">
      <calculatedColumnFormula>Torsdag50</calculatedColumnFormula>
    </tableColumn>
    <tableColumn id="3" xr3:uid="{0D95B5C7-8D64-4441-BAD9-BD081287C08B}" name="Tid1" dataDxfId="263"/>
    <tableColumn id="4" xr3:uid="{FA5D80AA-5330-4247-A6F3-D781210EB20E}" name="TID" dataDxfId="262"/>
    <tableColumn id="5" xr3:uid="{1D8322B8-3B09-41B1-9851-CA3A5C4B1930}" name="ANTAL" dataDxfId="261"/>
    <tableColumn id="6" xr3:uid="{229CCB32-47E1-4A05-BBEC-7FD324946461}" name="GRUPP/LAG/SKOLA/ETC." dataDxfId="260"/>
  </tableColumns>
  <tableStyleInfo name="Hallbokningsschema 2" showFirstColumn="0" showLastColumn="0" showRowStripes="0" showColumnStripes="0"/>
</table>
</file>

<file path=xl/tables/table3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FE00434-5925-4CB7-BD0A-3D2DCF405FB9}" name="Tabell5384552" displayName="Tabell5384552" ref="A20:F24" totalsRowShown="0" headerRowDxfId="259" dataDxfId="258">
  <autoFilter ref="A20:F24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2BE2636-87AB-4CBC-B980-2CB48B10447D}" name="DAG" dataDxfId="257">
      <calculatedColumnFormula>PROPER(TEXT(B21, "dddd"))</calculatedColumnFormula>
    </tableColumn>
    <tableColumn id="2" xr3:uid="{FC0C83A0-921D-4BCD-9CDD-1BF638EA3ECB}" name="DATUM" dataDxfId="256">
      <calculatedColumnFormula>Fredag50</calculatedColumnFormula>
    </tableColumn>
    <tableColumn id="3" xr3:uid="{62313455-4B36-4B44-BEE1-33C0FA5F179A}" name="Tid1" dataDxfId="255"/>
    <tableColumn id="4" xr3:uid="{4E0B01A6-A0BA-4B5B-A4B6-9258C2F83D72}" name="TID" dataDxfId="254"/>
    <tableColumn id="5" xr3:uid="{09EFECB8-C0AE-48FF-AE4D-64D6AE9B20C3}" name="ANTAL" dataDxfId="253"/>
    <tableColumn id="6" xr3:uid="{DAD19D30-330C-4C1F-AA69-DE66EE793D07}" name="GRUPP/LAG/SKOLA/ETC." dataDxfId="252"/>
  </tableColumns>
  <tableStyleInfo name="Hallbokningsschema 2" showFirstColumn="0" showLastColumn="0" showRowStripes="0" showColumnStripes="0"/>
</table>
</file>

<file path=xl/tables/table3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FB1D3DD-E399-4030-AFB5-D1E5FB43B570}" name="Tabell6394653" displayName="Tabell6394653" ref="A25:F26" totalsRowShown="0" headerRowDxfId="251" dataDxfId="250">
  <autoFilter ref="A25:F26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9C0B6C1-C0D9-4B2E-B280-338A99930032}" name="DAG" dataDxfId="249">
      <calculatedColumnFormula>PROPER(TEXT(B26, "dddd"))</calculatedColumnFormula>
    </tableColumn>
    <tableColumn id="2" xr3:uid="{CFC5B327-498C-42DB-B2F9-A3B408CD105B}" name="DATUM" dataDxfId="248">
      <calculatedColumnFormula>Lördag50</calculatedColumnFormula>
    </tableColumn>
    <tableColumn id="3" xr3:uid="{6FB2F187-5776-435E-8A66-9C0E0CA9D192}" name="Tid1" dataDxfId="247"/>
    <tableColumn id="4" xr3:uid="{A19EC2AA-A13D-434D-9AEA-21F650F92601}" name="TID" dataDxfId="246"/>
    <tableColumn id="5" xr3:uid="{FE08ADB3-9ED7-4767-899D-92A5D94D378D}" name="ANTAL" dataDxfId="245"/>
    <tableColumn id="6" xr3:uid="{5C25D7BA-9870-46D3-8854-6B04F63DFCFF}" name="GRUPP/LAG/SKOLA/ETC." dataDxfId="244"/>
  </tableColumns>
  <tableStyleInfo name="Hallbokningsschema 2" showFirstColumn="0" showLastColumn="0" showRowStripes="0" showColumnStripes="0"/>
</table>
</file>

<file path=xl/tables/table3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B3E6089-C75E-4CEE-A354-C0E2D1FA3B63}" name="Tabell7404754" displayName="Tabell7404754" ref="A27:F28" totalsRowShown="0" headerRowDxfId="243" dataDxfId="242">
  <autoFilter ref="A27:F28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A64ACFA-E0BA-4D11-945F-F14490628D03}" name="DAG" dataDxfId="241">
      <calculatedColumnFormula>PROPER(TEXT(B28, "dddd"))</calculatedColumnFormula>
    </tableColumn>
    <tableColumn id="2" xr3:uid="{FAC17029-37DF-4D04-85F0-6CBD3CA4D6CF}" name="DATUM" dataDxfId="240">
      <calculatedColumnFormula>Söndag50</calculatedColumnFormula>
    </tableColumn>
    <tableColumn id="3" xr3:uid="{32849350-53D5-48A4-B34A-6B5636313F60}" name="Tid1" dataDxfId="239"/>
    <tableColumn id="4" xr3:uid="{36B4B0D0-0674-4AC8-AECB-515035CF9DC9}" name="TID" dataDxfId="238"/>
    <tableColumn id="5" xr3:uid="{8D77C694-D7F7-48D0-BA70-E379AF8DA2CC}" name="ANTAL" dataDxfId="237"/>
    <tableColumn id="6" xr3:uid="{0728A6C3-C3B7-4FC3-AA85-8AB5546ED097}" name="GRUPP/LAG/SKOLA/ETC." dataDxfId="236"/>
  </tableColumns>
  <tableStyleInfo name="Hallbokningsschema 2" showFirstColumn="0" showLastColumn="0" showRowStripes="0" showColumnStripes="0"/>
</table>
</file>

<file path=xl/tables/table3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1869BFF-8C04-4B6E-B662-D91446881700}" name="Tabell134" displayName="Tabell134" ref="A2:F3" totalsRowShown="0" headerRowDxfId="219" dataDxfId="218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B77730C-3139-45FF-9D35-26BCFEBAEBF4}" name="DAG" dataDxfId="217">
      <calculatedColumnFormula>PROPER(TEXT(B3, "dddd"))</calculatedColumnFormula>
    </tableColumn>
    <tableColumn id="2" xr3:uid="{274E2E42-39FA-4B97-9867-A147310C51B1}" name="DATUM" dataDxfId="216">
      <calculatedColumnFormula>Måndag51</calculatedColumnFormula>
    </tableColumn>
    <tableColumn id="3" xr3:uid="{F8629BB9-DCF4-4DD8-A4DA-3531EB59B4C8}" name="Tid1" dataDxfId="215"/>
    <tableColumn id="4" xr3:uid="{016DA114-43D1-4685-ACF8-42DD310DC8C8}" name="TID" dataDxfId="214"/>
    <tableColumn id="5" xr3:uid="{FDC53D1E-9496-468B-AF6F-51199AFBD890}" name="ANTAL" dataDxfId="213"/>
    <tableColumn id="6" xr3:uid="{49E63947-F8B4-4207-AD51-E0CC7CF340E4}" name="GRUPP/LAG/SKOLA/ETC." dataDxfId="212"/>
  </tableColumns>
  <tableStyleInfo name="Hallbokningsschema 2" showFirstColumn="0" showLastColumn="0" showRowStripes="0" showColumnStripes="0"/>
</table>
</file>

<file path=xl/tables/table3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AE610C-9AA9-4D32-B8BC-A65D01ED98C4}" name="Tabell235" displayName="Tabell235" ref="A4:F8" totalsRowShown="0" headerRowDxfId="211" dataDxfId="210">
  <autoFilter ref="A4:F8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F4278E6-1933-408A-AE7E-84938716B3D6}" name="DAG" dataDxfId="209">
      <calculatedColumnFormula>PROPER(TEXT(B5, "dddd"))</calculatedColumnFormula>
    </tableColumn>
    <tableColumn id="2" xr3:uid="{9EF71DD6-515A-478F-9C74-7F0F1E313BBC}" name="DATUM" dataDxfId="208">
      <calculatedColumnFormula>Tisdag51</calculatedColumnFormula>
    </tableColumn>
    <tableColumn id="3" xr3:uid="{6DAD5664-0759-4803-85A2-D776C37FD047}" name="Tid1" dataDxfId="207"/>
    <tableColumn id="4" xr3:uid="{5ABA0632-EF21-4747-9B33-678F51AED85C}" name="TID" dataDxfId="206"/>
    <tableColumn id="5" xr3:uid="{8324DC76-2D12-4085-A4D7-59E4D8422E93}" name="ANTAL" dataDxfId="205"/>
    <tableColumn id="6" xr3:uid="{87D17D99-68DB-4409-9FBE-2962FD2DFF9A}" name="GRUPP/LAG/SKOLA/ETC." dataDxfId="204"/>
  </tableColumns>
  <tableStyleInfo name="Hallbokningsschema 2" showFirstColumn="0" showLastColumn="0" showRowStripes="0" showColumnStripes="0"/>
</table>
</file>

<file path=xl/tables/table3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9E5AC8C-66C2-44E6-B047-0381D75ED136}" name="Tabell336" displayName="Tabell336" ref="A9:F14" totalsRowShown="0" headerRowDxfId="203" dataDxfId="202">
  <autoFilter ref="A9:F14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10:F14">
    <sortCondition ref="C10:C14"/>
  </sortState>
  <tableColumns count="6">
    <tableColumn id="1" xr3:uid="{1CB0CC7F-196E-431F-9F33-A4D06060551A}" name="DAG" dataDxfId="201">
      <calculatedColumnFormula>PROPER(TEXT(B10, "dddd"))</calculatedColumnFormula>
    </tableColumn>
    <tableColumn id="2" xr3:uid="{C76FFEF4-D1D8-45E4-9297-62B9BEFDBAED}" name="DATUM" dataDxfId="200">
      <calculatedColumnFormula>Onsdag51</calculatedColumnFormula>
    </tableColumn>
    <tableColumn id="3" xr3:uid="{83060C90-FE66-493D-BF5B-88F332ED7E64}" name="Tid1" dataDxfId="199"/>
    <tableColumn id="4" xr3:uid="{585C7301-DA3D-473E-8FBC-97874AA161AB}" name="TID" dataDxfId="198"/>
    <tableColumn id="5" xr3:uid="{D718C829-7699-44D6-B7CF-6C77234F39E1}" name="ANTAL" dataDxfId="197"/>
    <tableColumn id="6" xr3:uid="{D5776270-B830-43CC-BB8E-D2AA1D65B75A}" name="GRUPP/LAG/SKOLA/ETC." dataDxfId="196"/>
  </tableColumns>
  <tableStyleInfo name="Hallbokningsschema 2" showFirstColumn="0" showLastColumn="0" showRowStripes="0" showColumnStripes="0"/>
</table>
</file>

<file path=xl/tables/table3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76C3568-6B56-4A57-B1DC-A1667346FB91}" name="Tabell437" displayName="Tabell437" ref="A15:F19" totalsRowShown="0" headerRowDxfId="195" dataDxfId="194">
  <autoFilter ref="A15:F1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29CC6E7-987E-4244-BE1D-E1B3F7944FBE}" name="DAG" dataDxfId="193">
      <calculatedColumnFormula>PROPER(TEXT(B16, "dddd"))</calculatedColumnFormula>
    </tableColumn>
    <tableColumn id="2" xr3:uid="{911F3581-3522-4D77-BF0F-BA0DBDBC08D4}" name="DATUM" dataDxfId="192">
      <calculatedColumnFormula>Torsdag51</calculatedColumnFormula>
    </tableColumn>
    <tableColumn id="3" xr3:uid="{3DDD44DE-8F29-41A3-AF1D-C671FF4EB854}" name="Tid1" dataDxfId="191"/>
    <tableColumn id="4" xr3:uid="{51E6023D-7DD3-4584-9210-77F23C57D7FC}" name="TID" dataDxfId="190"/>
    <tableColumn id="5" xr3:uid="{9474EB74-7437-4F66-808E-71AFFB25B5D8}" name="ANTAL" dataDxfId="189"/>
    <tableColumn id="6" xr3:uid="{726B3FEA-A16E-4F50-B5DA-B339B4D2515A}" name="GRUPP/LAG/SKOLA/ETC." dataDxfId="188"/>
  </tableColumns>
  <tableStyleInfo name="Hallbokningsschema 2" showFirstColumn="0" showLastColumn="0" showRowStripes="0" showColumnStripes="0"/>
</table>
</file>

<file path=xl/tables/table3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4DB5033-88FD-45F1-931E-69D8428EB7E0}" name="Tabell538" displayName="Tabell538" ref="A20:F24" totalsRowShown="0" headerRowDxfId="187" dataDxfId="186">
  <autoFilter ref="A20:F24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7C5093A-2C9D-407E-9A99-BCF6B7995812}" name="DAG" dataDxfId="185">
      <calculatedColumnFormula>PROPER(TEXT(B21, "dddd"))</calculatedColumnFormula>
    </tableColumn>
    <tableColumn id="2" xr3:uid="{74679410-82F2-4A02-A15E-58E36D7F7E08}" name="DATUM" dataDxfId="184">
      <calculatedColumnFormula>Fredag51</calculatedColumnFormula>
    </tableColumn>
    <tableColumn id="3" xr3:uid="{DBEB1A14-88C1-405C-A5E9-C81B55DC1BD8}" name="Tid1" dataDxfId="183"/>
    <tableColumn id="4" xr3:uid="{84C79675-68C9-4CFF-A1A0-31BF2751D72F}" name="TID" dataDxfId="182"/>
    <tableColumn id="5" xr3:uid="{D59BFC8D-7666-4738-8604-01E1B4561C05}" name="ANTAL" dataDxfId="181"/>
    <tableColumn id="6" xr3:uid="{3F03288B-21F0-4B60-8217-26B784DBBC1C}" name="GRUPP/LAG/SKOLA/ETC." dataDxfId="180"/>
  </tableColumns>
  <tableStyleInfo name="Hallbokningsschema 2" showFirstColumn="0" showLastColumn="0" showRowStripes="0" showColumnStripes="0"/>
</table>
</file>

<file path=xl/tables/table3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74606C4-121B-44A0-B7C0-2EEE36D9C859}" name="Tabell639" displayName="Tabell639" ref="A25:F26" totalsRowShown="0" headerRowDxfId="179" dataDxfId="178">
  <autoFilter ref="A25:F26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DF7D057-B9B3-4229-9887-5593E3B53C6E}" name="DAG" dataDxfId="177">
      <calculatedColumnFormula>PROPER(TEXT(B26, "dddd"))</calculatedColumnFormula>
    </tableColumn>
    <tableColumn id="2" xr3:uid="{8E34DCD2-7E26-4BDD-A8A6-5437165D6694}" name="DATUM" dataDxfId="176">
      <calculatedColumnFormula>Lördag51</calculatedColumnFormula>
    </tableColumn>
    <tableColumn id="3" xr3:uid="{0F342A1C-C01A-4FAC-9D6B-A5C5F762FA21}" name="Tid1" dataDxfId="175"/>
    <tableColumn id="4" xr3:uid="{82B62649-03B2-4408-B4E3-DD38AE6EE2A0}" name="TID" dataDxfId="174"/>
    <tableColumn id="5" xr3:uid="{E45D732C-0DF4-43BF-B17A-2CF4A9FD6F56}" name="ANTAL" dataDxfId="173"/>
    <tableColumn id="6" xr3:uid="{80B57B38-F4AA-48E0-A9BF-211F5AA83B53}" name="GRUPP/LAG/SKOLA/ETC." dataDxfId="172"/>
  </tableColumns>
  <tableStyleInfo name="Hallbokningsschema 2" showFirstColumn="0" showLastColumn="0" showRowStripes="0" showColumnStripes="0"/>
</table>
</file>

<file path=xl/tables/table3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B9645D1-3239-4D8D-AA19-F7B5634F5514}" name="Tabell740" displayName="Tabell740" ref="A27:F28" totalsRowShown="0" headerRowDxfId="171" dataDxfId="170">
  <autoFilter ref="A27:F28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02FED6C-1861-4E60-A2C5-EC2860C2CF8F}" name="DAG" dataDxfId="169">
      <calculatedColumnFormula>PROPER(TEXT(B28, "dddd"))</calculatedColumnFormula>
    </tableColumn>
    <tableColumn id="2" xr3:uid="{3BB3B2C2-4589-46EA-BD3D-307161A7E633}" name="DATUM" dataDxfId="168">
      <calculatedColumnFormula>Söndag51</calculatedColumnFormula>
    </tableColumn>
    <tableColumn id="3" xr3:uid="{55E1F758-5458-4F41-AE2D-E7101CA968A7}" name="Tid1" dataDxfId="167"/>
    <tableColumn id="4" xr3:uid="{6504AB29-6D7E-4B6F-B9FE-C9CD0DED6261}" name="TID" dataDxfId="166"/>
    <tableColumn id="5" xr3:uid="{B7DCEBAC-B13A-43BB-B352-7FDB5A73FEDB}" name="ANTAL" dataDxfId="165"/>
    <tableColumn id="6" xr3:uid="{71740AB2-B56F-4B4A-96CB-814FD721276B}" name="GRUPP/LAG/SKOLA/ETC." dataDxfId="164"/>
  </tableColumns>
  <tableStyleInfo name="Hallbokningsschema 2" showFirstColumn="0" showLastColumn="0" showRowStripes="0" showColumnStripes="0"/>
</table>
</file>

<file path=xl/tables/table3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848A5CB-312C-4689-8F20-A0AB60EFF938}" name="Tabell13441" displayName="Tabell13441" ref="A2:F3" totalsRowShown="0" headerRowDxfId="149" dataDxfId="148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E1563EB-AF0A-4FF4-AE2E-83060F4AB44D}" name="DAG" dataDxfId="147">
      <calculatedColumnFormula>PROPER(TEXT(B3, "dddd"))</calculatedColumnFormula>
    </tableColumn>
    <tableColumn id="2" xr3:uid="{7B768937-563E-415A-8CE8-04A82B5EAF73}" name="DATUM" dataDxfId="146">
      <calculatedColumnFormula>Måndag52</calculatedColumnFormula>
    </tableColumn>
    <tableColumn id="3" xr3:uid="{725E0559-4772-4EC0-9C3C-A735A347CB3A}" name="Tid1" dataDxfId="145"/>
    <tableColumn id="4" xr3:uid="{A3AA32E7-7B8F-487E-9331-11D42A80424E}" name="TID" dataDxfId="144"/>
    <tableColumn id="5" xr3:uid="{7B0F1991-E704-4D57-95C0-5550B5466B27}" name="ANTAL" dataDxfId="143"/>
    <tableColumn id="6" xr3:uid="{8D159AE0-8057-4A05-95D6-35033FDB010C}" name="GRUPP/LAG/SKOLA/ETC." dataDxfId="142"/>
  </tableColumns>
  <tableStyleInfo name="Hallbokningsschema 2" showFirstColumn="0" showLastColumn="0" showRowStripes="0" showColumnStripes="0"/>
</table>
</file>

<file path=xl/tables/table3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C49DBAD-8848-4BF8-A153-99B8647BEEBE}" name="Tabell23542" displayName="Tabell23542" ref="A4:F5" totalsRowShown="0" headerRowDxfId="141" dataDxfId="140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8703675-55CA-42C5-AE29-2CC016C88E57}" name="DAG" dataDxfId="139">
      <calculatedColumnFormula>PROPER(TEXT(B5, "dddd"))</calculatedColumnFormula>
    </tableColumn>
    <tableColumn id="2" xr3:uid="{11672873-7789-4F80-B639-F8FFD1DC2F17}" name="DATUM" dataDxfId="138">
      <calculatedColumnFormula>Tisdag52</calculatedColumnFormula>
    </tableColumn>
    <tableColumn id="3" xr3:uid="{00BAB582-DC0A-4470-9FED-4DCC5F64E23E}" name="Tid1" dataDxfId="137"/>
    <tableColumn id="4" xr3:uid="{F271A453-CCE2-4130-B1F8-252BDA472260}" name="TID" dataDxfId="136"/>
    <tableColumn id="5" xr3:uid="{AC660F43-FA34-4536-8793-068C63F163A6}" name="ANTAL" dataDxfId="135"/>
    <tableColumn id="6" xr3:uid="{C638FD83-9C11-45CB-9DEA-701E32B4EFA3}" name="GRUPP/LAG/SKOLA/ETC." dataDxfId="134"/>
  </tableColumns>
  <tableStyleInfo name="Hallbokningsschema 2" showFirstColumn="0" showLastColumn="0" showRowStripes="0" showColumnStripes="0"/>
</table>
</file>

<file path=xl/tables/table3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24C9ACF-C46F-48AB-90F4-8D82EF743EBF}" name="Tabell33643" displayName="Tabell33643" ref="A6:F7" totalsRowShown="0" headerRowDxfId="133" dataDxfId="132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1B399D8-0838-45FF-9D6D-6DC2C3C660EB}" name="DAG" dataDxfId="131">
      <calculatedColumnFormula>PROPER(TEXT(B7, "dddd"))</calculatedColumnFormula>
    </tableColumn>
    <tableColumn id="2" xr3:uid="{E9150367-4ADB-43A8-945E-C2777AF6824F}" name="DATUM" dataDxfId="130">
      <calculatedColumnFormula>Onsdag52</calculatedColumnFormula>
    </tableColumn>
    <tableColumn id="3" xr3:uid="{B62F58A9-B562-466A-8E5D-DD8771BE193A}" name="Tid1" dataDxfId="129"/>
    <tableColumn id="4" xr3:uid="{4BF8B2DE-E7E4-4439-B1C6-67F8BBB543C7}" name="TID" dataDxfId="128"/>
    <tableColumn id="5" xr3:uid="{CCCBC868-4BFB-4521-BBEB-608BF96650A8}" name="ANTAL" dataDxfId="127"/>
    <tableColumn id="6" xr3:uid="{0159B494-80CB-4DE8-AED1-A98C61D22E9C}" name="GRUPP/LAG/SKOLA/ETC." dataDxfId="126"/>
  </tableColumns>
  <tableStyleInfo name="Hallbokningsschema 2" showFirstColumn="0" showLastColumn="0" showRowStripes="0" showColumnStripes="0"/>
</table>
</file>

<file path=xl/tables/table3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70FC0E8-C6E1-4C2A-BF19-96045B3420B1}" name="Tabell43744" displayName="Tabell43744" ref="A8:F9" totalsRowShown="0" headerRowDxfId="125" dataDxfId="124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36223BC-557D-43E2-B822-F3B51B837F27}" name="DAG" dataDxfId="123">
      <calculatedColumnFormula>PROPER(TEXT(B9, "dddd"))</calculatedColumnFormula>
    </tableColumn>
    <tableColumn id="2" xr3:uid="{EDFA3B60-B73C-4D32-8E99-C1ABB06286B4}" name="DATUM" dataDxfId="122">
      <calculatedColumnFormula>Torsdag52</calculatedColumnFormula>
    </tableColumn>
    <tableColumn id="3" xr3:uid="{B0B19019-B7E3-4D4B-BF8B-26022D158553}" name="Tid1" dataDxfId="121"/>
    <tableColumn id="4" xr3:uid="{3705B80A-4359-4622-AE35-A721F87649BF}" name="TID" dataDxfId="120"/>
    <tableColumn id="5" xr3:uid="{EEF2C512-F780-4757-A7DF-5D4910C59B2D}" name="ANTAL" dataDxfId="119"/>
    <tableColumn id="6" xr3:uid="{68B26B30-757A-4A68-9679-1333A9B863F1}" name="GRUPP/LAG/SKOLA/ETC." dataDxfId="118"/>
  </tableColumns>
  <tableStyleInfo name="Hallbokningsschema 2" showFirstColumn="0" showLastColumn="0" showRowStripes="0" showColumnStripes="0"/>
</table>
</file>

<file path=xl/tables/table3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DD9F3EB-9D57-4765-BC71-1C3677FBDBE4}" name="Tabell53845" displayName="Tabell53845" ref="A10:F11" totalsRowShown="0" headerRowDxfId="117" dataDxfId="116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C14F7A9-6094-47D9-8368-D15BA46191F7}" name="DAG" dataDxfId="115">
      <calculatedColumnFormula>PROPER(TEXT(B11, "dddd"))</calculatedColumnFormula>
    </tableColumn>
    <tableColumn id="2" xr3:uid="{F444B03E-E22F-4B9F-AF01-7A4F6EC11C7B}" name="DATUM" dataDxfId="114">
      <calculatedColumnFormula>Fredag52</calculatedColumnFormula>
    </tableColumn>
    <tableColumn id="3" xr3:uid="{3D4715EE-1A6E-42C1-82AC-DEE1BC10F376}" name="Tid1" dataDxfId="113"/>
    <tableColumn id="4" xr3:uid="{33721CAF-6072-457D-8B88-3D8CF27FF8D6}" name="TID" dataDxfId="112"/>
    <tableColumn id="5" xr3:uid="{F91F4E94-5BC1-4174-A7EA-E0E721EC8670}" name="ANTAL" dataDxfId="111"/>
    <tableColumn id="6" xr3:uid="{E7363408-824B-4013-8FBB-0E947EAA3740}" name="GRUPP/LAG/SKOLA/ETC." dataDxfId="110"/>
  </tableColumns>
  <tableStyleInfo name="Hallbokningsschema 2" showFirstColumn="0" showLastColumn="0" showRowStripes="0" showColumnStripes="0"/>
</table>
</file>

<file path=xl/tables/table3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1AC613A-A00C-4771-9F33-C5016FD0AE2C}" name="Tabell63946" displayName="Tabell63946" ref="A12:F13" totalsRowShown="0" headerRowDxfId="109" dataDxfId="108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5429A8E-1066-4CAC-90E0-B718E40F5620}" name="DAG" dataDxfId="107">
      <calculatedColumnFormula>PROPER(TEXT(B13, "dddd"))</calculatedColumnFormula>
    </tableColumn>
    <tableColumn id="2" xr3:uid="{8E5E864F-8B9D-4D1C-AFD1-61147681858B}" name="DATUM" dataDxfId="106">
      <calculatedColumnFormula>Lördag52</calculatedColumnFormula>
    </tableColumn>
    <tableColumn id="3" xr3:uid="{3CCBEEFF-E613-43EE-B741-B912EC31F362}" name="Tid1" dataDxfId="105"/>
    <tableColumn id="4" xr3:uid="{92122AE2-D7EB-4E4A-9731-224BEF321686}" name="TID" dataDxfId="104"/>
    <tableColumn id="5" xr3:uid="{73836FFD-52B9-48F6-ABEF-494D12622EB0}" name="ANTAL" dataDxfId="103"/>
    <tableColumn id="6" xr3:uid="{9F8620FA-320B-479C-B7DB-EB247658D307}" name="GRUPP/LAG/SKOLA/ETC." dataDxfId="102"/>
  </tableColumns>
  <tableStyleInfo name="Hallbokningsschema 2" showFirstColumn="0" showLastColumn="0" showRowStripes="0" showColumnStripes="0"/>
</table>
</file>

<file path=xl/tables/table3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12068E8-5134-4551-8E87-01139880F385}" name="Tabell74047" displayName="Tabell74047" ref="A14:F15" totalsRowShown="0" headerRowDxfId="101" dataDxfId="100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1E20A0E-4103-4BDB-9D87-6578CB1CB3C4}" name="DAG" dataDxfId="99">
      <calculatedColumnFormula>PROPER(TEXT(B15, "dddd"))</calculatedColumnFormula>
    </tableColumn>
    <tableColumn id="2" xr3:uid="{3159AEC8-2A6A-463D-8B97-93AC2B6A0745}" name="DATUM" dataDxfId="98">
      <calculatedColumnFormula>Söndag52</calculatedColumnFormula>
    </tableColumn>
    <tableColumn id="3" xr3:uid="{907495CA-2FE6-4360-BF0F-E790A132602F}" name="Tid1" dataDxfId="97"/>
    <tableColumn id="4" xr3:uid="{8DA4C954-64E1-41CA-B874-0DF886271C6B}" name="TID" dataDxfId="96"/>
    <tableColumn id="5" xr3:uid="{D170DCB9-6DA2-4E78-AA24-C46D99ABC6FC}" name="ANTAL" dataDxfId="95"/>
    <tableColumn id="6" xr3:uid="{71C2FB21-56A5-4BA7-ACFD-A6A35C91B92A}" name="GRUPP/LAG/SKOLA/ETC." dataDxfId="94"/>
  </tableColumns>
  <tableStyleInfo name="Hallbokningsschema 2" showFirstColumn="0" showLastColumn="0" showRowStripes="0" showColumnStripes="0"/>
</table>
</file>

<file path=xl/tables/table3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D5340335-67AA-4F9D-A8F7-D96D686B1791}" name="Tabell13441485576839097104111118125139146153160167174181188195202" displayName="Tabell13441485576839097104111118125139146153160167174181188195202" ref="A2:F3" totalsRowShown="0" headerRowDxfId="79" dataDxfId="78">
  <autoFilter ref="A2:F3" xr:uid="{722C7F61-C7E4-4D4F-8808-872C56D899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B0C4773-1052-470A-8110-F9FB9560C12C}" name="DAG" dataDxfId="77">
      <calculatedColumnFormula>PROPER(TEXT(B3, "dddd"))</calculatedColumnFormula>
    </tableColumn>
    <tableColumn id="2" xr3:uid="{E1FB2E30-450D-405F-912F-F083B979800A}" name="DATUM" dataDxfId="76">
      <calculatedColumnFormula>Måndag53</calculatedColumnFormula>
    </tableColumn>
    <tableColumn id="3" xr3:uid="{CA3D0473-ED0A-495D-9C05-83581D8A3B15}" name="Tid1" dataDxfId="75"/>
    <tableColumn id="4" xr3:uid="{C5F0905B-A9CD-4029-B478-6D2C9B2D0D90}" name="TID" dataDxfId="74"/>
    <tableColumn id="5" xr3:uid="{5FDCB85F-98EA-4F81-9DB3-382FD9FCEA53}" name="ANTAL" dataDxfId="73"/>
    <tableColumn id="6" xr3:uid="{9FC94861-4D50-4A43-A2FF-3448EA0C4CC4}" name="GRUPP/LAG/SKOLA/ETC." dataDxfId="72"/>
  </tableColumns>
  <tableStyleInfo name="Hallbokningsschema 2" showFirstColumn="0" showLastColumn="0" showRowStripes="0" showColumnStripes="0"/>
</table>
</file>

<file path=xl/tables/table3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8D47C1B4-53FB-460A-AF39-0043E37249DD}" name="Tabell23542495677849198105112119126140147154161168175182189196203" displayName="Tabell23542495677849198105112119126140147154161168175182189196203" ref="A4:F5" totalsRowShown="0" headerRowDxfId="71" dataDxfId="70">
  <autoFilter ref="A4:F5" xr:uid="{E1DAC2F2-EAD3-4F40-8BE0-D5DB725208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A6D23A2-4E1A-4F26-A420-0D8905DF6245}" name="DAG" dataDxfId="69">
      <calculatedColumnFormula>PROPER(TEXT(B5, "dddd"))</calculatedColumnFormula>
    </tableColumn>
    <tableColumn id="2" xr3:uid="{68991D9E-4B1E-4848-B8AE-949EAD629DFB}" name="DATUM" dataDxfId="68">
      <calculatedColumnFormula>Tisdag53</calculatedColumnFormula>
    </tableColumn>
    <tableColumn id="3" xr3:uid="{C63E8184-BF94-439E-865F-FA654A1C36D4}" name="Tid1" dataDxfId="67"/>
    <tableColumn id="4" xr3:uid="{482324B7-3E39-4666-AF07-ADCED9F7CC0D}" name="TID" dataDxfId="66"/>
    <tableColumn id="5" xr3:uid="{52D33DEE-9F7A-4D5F-9CC2-4FD06900BD9B}" name="ANTAL" dataDxfId="65"/>
    <tableColumn id="6" xr3:uid="{36E8B5D5-D24A-42A2-9460-5BBC95AC96DA}" name="GRUPP/LAG/SKOLA/ETC." dataDxfId="64"/>
  </tableColumns>
  <tableStyleInfo name="Hallbokningsschema 2" showFirstColumn="0" showLastColumn="0" showRowStripes="0" showColumnStripes="0"/>
</table>
</file>

<file path=xl/tables/table3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51F0B092-1A10-4B56-8E18-38435B62F3F0}" name="Tabell33643505778859299106113120127141148155162169176183190197204" displayName="Tabell33643505778859299106113120127141148155162169176183190197204" ref="A6:F7" totalsRowShown="0" headerRowDxfId="63" dataDxfId="62">
  <autoFilter ref="A6:F7" xr:uid="{EC84C0AB-C1C3-4B50-8FC4-E37947BB81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BA04AD4-3D6D-4600-9823-08399E40B765}" name="DAG" dataDxfId="61">
      <calculatedColumnFormula>PROPER(TEXT(B7, "dddd"))</calculatedColumnFormula>
    </tableColumn>
    <tableColumn id="2" xr3:uid="{31D02185-D65A-4F74-B5C1-AA28DF30BF12}" name="DATUM" dataDxfId="60">
      <calculatedColumnFormula>Onsdag53</calculatedColumnFormula>
    </tableColumn>
    <tableColumn id="3" xr3:uid="{4313B43C-E8C9-4208-9D6B-E051AAABCD90}" name="Tid1" dataDxfId="59"/>
    <tableColumn id="4" xr3:uid="{D36EFFD5-BD76-493A-8E33-5E205C373D49}" name="TID" dataDxfId="58"/>
    <tableColumn id="5" xr3:uid="{603CFC75-CA4A-4A41-8D9A-B2E857A8C035}" name="ANTAL" dataDxfId="57"/>
    <tableColumn id="6" xr3:uid="{EC1DA1EF-306C-4374-A8AD-EB1FBF308B7B}" name="GRUPP/LAG/SKOLA/ETC." dataDxfId="56"/>
  </tableColumns>
  <tableStyleInfo name="Hallbokningsschema 2" showFirstColumn="0" showLastColumn="0" showRowStripes="0" showColumnStripes="0"/>
</table>
</file>

<file path=xl/tables/table3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8D1F100C-6B71-4A12-BC3C-9E1CD50CC11F}" name="Tabell437445158798693100107114121128142149156163170177184191198205" displayName="Tabell437445158798693100107114121128142149156163170177184191198205" ref="A8:F9" totalsRowShown="0" headerRowDxfId="55" dataDxfId="54">
  <autoFilter ref="A8:F9" xr:uid="{A27A0AF5-7454-4BFE-A7A2-09E28F0134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0523534-8CC7-493D-B779-A785C9EB7601}" name="DAG" dataDxfId="53">
      <calculatedColumnFormula>PROPER(TEXT(B9, "dddd"))</calculatedColumnFormula>
    </tableColumn>
    <tableColumn id="2" xr3:uid="{A3969927-DF16-482A-A5B3-38DF0697AF56}" name="DATUM" dataDxfId="52">
      <calculatedColumnFormula>Torsdag53</calculatedColumnFormula>
    </tableColumn>
    <tableColumn id="3" xr3:uid="{F852004B-3C3B-4F4D-87AC-133CF1B4A854}" name="Tid1" dataDxfId="51"/>
    <tableColumn id="4" xr3:uid="{4AA8FD7D-D0D2-4DA2-AC80-7B425CC40E0D}" name="TID" dataDxfId="50"/>
    <tableColumn id="5" xr3:uid="{7070CA66-A4A7-488A-80DC-A5BC390C3166}" name="ANTAL" dataDxfId="49"/>
    <tableColumn id="6" xr3:uid="{A943DBB5-A496-49CF-8AD2-BDC803CE8B22}" name="GRUPP/LAG/SKOLA/ETC." dataDxfId="48"/>
  </tableColumns>
  <tableStyleInfo name="Hallbokningsschema 2" showFirstColumn="0" showLastColumn="0" showRowStripes="0" showColumnStripes="0"/>
</table>
</file>

<file path=xl/tables/table3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517C4BF7-EBE7-4218-874A-146C74C5FC65}" name="Tabell538455259808794101108115122129143150157164171178185192199206" displayName="Tabell538455259808794101108115122129143150157164171178185192199206" ref="A10:F11" totalsRowShown="0" headerRowDxfId="47" dataDxfId="46">
  <autoFilter ref="A10:F11" xr:uid="{88C5FB07-8DC9-448D-9CF9-F7A381449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3992A98-EF29-4CE5-B73F-E1EB291A6D3F}" name="DAG" dataDxfId="45">
      <calculatedColumnFormula>PROPER(TEXT(B11, "dddd"))</calculatedColumnFormula>
    </tableColumn>
    <tableColumn id="2" xr3:uid="{180B6429-E96D-48A9-B6D9-067760E18BAE}" name="DATUM" dataDxfId="44">
      <calculatedColumnFormula>Fredag53</calculatedColumnFormula>
    </tableColumn>
    <tableColumn id="3" xr3:uid="{86BE1BFE-C911-4CD5-966F-EC975C0A1612}" name="Tid1" dataDxfId="43"/>
    <tableColumn id="4" xr3:uid="{E0A9280F-03D7-44B9-96FD-CB91B2EC1058}" name="TID" dataDxfId="42"/>
    <tableColumn id="5" xr3:uid="{983486FF-7226-4F73-BB66-6F41BC5E854D}" name="ANTAL" dataDxfId="41"/>
    <tableColumn id="6" xr3:uid="{F924C31A-601B-4BF6-B56F-25F2EE82B42F}" name="GRUPP/LAG/SKOLA/ETC." dataDxfId="40"/>
  </tableColumns>
  <tableStyleInfo name="Hallbokningsschema 2" showFirstColumn="0" showLastColumn="0" showRowStripes="0" showColumnStripes="0"/>
</table>
</file>

<file path=xl/tables/table3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0B1E5CDA-1C9E-47A5-BC7A-C5F307DABABF}" name="Tabell639465360818895102109116123130144151158165172179186193200207" displayName="Tabell639465360818895102109116123130144151158165172179186193200207" ref="A12:F13" totalsRowShown="0" headerRowDxfId="39" dataDxfId="38">
  <autoFilter ref="A12:F13" xr:uid="{50DF334B-D113-4CFA-BFA4-4639D82A10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B6B69F9-255C-4CD8-BFD6-91006CC9A2ED}" name="DAG" dataDxfId="37">
      <calculatedColumnFormula>PROPER(TEXT(B13, "dddd"))</calculatedColumnFormula>
    </tableColumn>
    <tableColumn id="2" xr3:uid="{7196E245-DC21-4B82-B99F-9E4A85790DA4}" name="DATUM" dataDxfId="36">
      <calculatedColumnFormula>Lördag53</calculatedColumnFormula>
    </tableColumn>
    <tableColumn id="3" xr3:uid="{303E7E49-59DB-4A24-AC77-E0DA9CDBE4B6}" name="Tid1" dataDxfId="35"/>
    <tableColumn id="4" xr3:uid="{A7F89350-3C30-4F69-B6B5-8DB58F1B8CDC}" name="TID" dataDxfId="34"/>
    <tableColumn id="5" xr3:uid="{0B08824B-83CD-40F5-ABDD-03FED43804B5}" name="ANTAL" dataDxfId="33"/>
    <tableColumn id="6" xr3:uid="{C902DEAD-695A-4605-8EEF-CEEEB28F87BD}" name="GRUPP/LAG/SKOLA/ETC." dataDxfId="32"/>
  </tableColumns>
  <tableStyleInfo name="Hallbokningsschema 2" showFirstColumn="0" showLastColumn="0" showRowStripes="0" showColumnStripes="0"/>
</table>
</file>

<file path=xl/tables/table3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EFF0C3FD-8D4D-4207-AE12-3E671E235F00}" name="Tabell740475461828996103110117124131145152159166173180187194201208" displayName="Tabell740475461828996103110117124131145152159166173180187194201208" ref="A14:F15" totalsRowShown="0" headerRowDxfId="31" dataDxfId="30">
  <autoFilter ref="A14:F15" xr:uid="{10CEE6DB-2666-41C1-948E-C16B806D02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F7847B3-3B91-4E44-AEAD-146DC3E96851}" name="DAG" dataDxfId="29">
      <calculatedColumnFormula>PROPER(TEXT(B15, "dddd"))</calculatedColumnFormula>
    </tableColumn>
    <tableColumn id="2" xr3:uid="{8007D619-7798-4728-8808-84D9B17FF164}" name="DATUM" dataDxfId="28">
      <calculatedColumnFormula>Söndag53</calculatedColumnFormula>
    </tableColumn>
    <tableColumn id="3" xr3:uid="{67AC38DE-A570-4FAE-8D6B-92352E7E4A61}" name="Tid1" dataDxfId="27"/>
    <tableColumn id="4" xr3:uid="{6D79FE15-CF50-4129-A229-A40FB80E63B7}" name="TID" dataDxfId="26"/>
    <tableColumn id="5" xr3:uid="{158C23C1-BAB1-4B96-8A41-CA2E7D2DC053}" name="ANTAL" dataDxfId="25"/>
    <tableColumn id="6" xr3:uid="{3E555173-0011-4235-9EA5-99BCB6019627}" name="GRUPP/LAG/SKOLA/ETC." dataDxfId="24"/>
  </tableColumns>
  <tableStyleInfo name="Hallbokningsschema 2" showFirstColumn="0" showLastColumn="0" showRowStripes="0" showColumnStripes="0"/>
</table>
</file>

<file path=xl/tables/table3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34E3C3-A365-4903-904B-D9AFF673940C}" name="TabellKontaktuppgifter" displayName="TabellKontaktuppgifter" ref="A1:J300" totalsRowShown="0" headerRowDxfId="21" dataDxfId="20" tableBorderDxfId="19">
  <autoFilter ref="A1:J300" xr:uid="{8E34E3C3-A365-4903-904B-D9AFF67394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xmlns:xlrd2="http://schemas.microsoft.com/office/spreadsheetml/2017/richdata2" ref="A2:J300">
    <sortCondition ref="A2:A300"/>
  </sortState>
  <tableColumns count="10">
    <tableColumn id="1" xr3:uid="{BDE36FC7-99FD-4B25-AB72-EF5027CBD735}" name="GRUPP/LAG/SKOLA/ETC." dataDxfId="18"/>
    <tableColumn id="2" xr3:uid="{F12C3B27-9197-4885-A096-05B3004239D5}" name="FAKTURERINGSADRESS" dataDxfId="17"/>
    <tableColumn id="3" xr3:uid="{519B65E6-1FBF-4DD8-90F2-D18F3B942609}" name="MEJLFAKTURERING" dataDxfId="16"/>
    <tableColumn id="4" xr3:uid="{E262B04F-B365-4D9B-B8B2-F33A0EC5769A}" name="REFERENS" dataDxfId="15"/>
    <tableColumn id="5" xr3:uid="{49CD84BB-1E5D-4D2E-BC5E-5A112D5FBB2E}" name="KONTAKT" dataDxfId="14"/>
    <tableColumn id="6" xr3:uid="{D3851653-9530-42FA-ACA8-5722B8939862}" name="TEL. KONTAKTPERSON" dataDxfId="13"/>
    <tableColumn id="7" xr3:uid="{AD274B62-BFAD-411B-89B3-EA4E498B679F}" name="E-POST, KONTAKTPERSON" dataDxfId="12"/>
    <tableColumn id="8" xr3:uid="{3830F258-6F73-4AAC-A4F3-066AE716D720}" name="ORGANISATIONSNUMMER" dataDxfId="11"/>
    <tableColumn id="9" xr3:uid="{56257954-AAE6-4B60-89E9-FF359AF3B275}" name="PEPPOL-ID" dataDxfId="10"/>
    <tableColumn id="10" xr3:uid="{718619C3-7FAD-4E9D-816C-501734323DB9}" name="GLN-NUMMER" dataDxfId="9"/>
  </tableColumns>
  <tableStyleInfo showFirstColumn="0" showLastColumn="0" showRowStripes="0" showColumnStripes="0"/>
</table>
</file>

<file path=xl/tables/table3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CD277C-FCAD-474A-B88F-CC49CAC3EE7D}" name="TabellAntal" displayName="TabellAntal" ref="A1:A150" totalsRowShown="0" headerRowDxfId="6" dataDxfId="5">
  <autoFilter ref="A1:A150" xr:uid="{94CD277C-FCAD-474A-B88F-CC49CAC3EE7D}">
    <filterColumn colId="0" hiddenButton="1"/>
  </autoFilter>
  <tableColumns count="1">
    <tableColumn id="1" xr3:uid="{1641851F-4C7F-4019-A6A4-FDF386B1B08E}" name="Antal" dataDxfId="4"/>
  </tableColumns>
  <tableStyleInfo name="TableStyleMedium1" showFirstColumn="0" showLastColumn="0" showRowStripes="0" showColumnStripes="0"/>
</table>
</file>

<file path=xl/tables/table3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90CF29-4F2D-43EA-992B-5227B02019F7}" name="TabellPris" displayName="TabellPris" ref="C1:C300" totalsRowShown="0" headerRowDxfId="3" dataDxfId="2">
  <autoFilter ref="C1:C300" xr:uid="{4390CF29-4F2D-43EA-992B-5227B02019F7}">
    <filterColumn colId="0" hiddenButton="1"/>
  </autoFilter>
  <tableColumns count="1">
    <tableColumn id="1" xr3:uid="{52042690-94B5-43C8-97C3-6F2B29DF38E9}" name="Pris" dataDxfId="1"/>
  </tableColumns>
  <tableStyleInfo name="TableStyleMedium1" showFirstColumn="0" showLastColumn="0" showRowStripes="0" showColumnStripes="0"/>
</table>
</file>

<file path=xl/tables/table3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DC17DE-394A-49A5-AABA-05E953128418}" name="TabellPrisklass" displayName="TabellPrisklass" ref="E1:E22" totalsRowShown="0" headerRowDxfId="0">
  <autoFilter ref="E1:E22" xr:uid="{67DC17DE-394A-49A5-AABA-05E953128418}">
    <filterColumn colId="0" hiddenButton="1"/>
  </autoFilter>
  <tableColumns count="1">
    <tableColumn id="1" xr3:uid="{7AC40A1A-32AF-456A-81D4-94D46BF37869}" name="Prisklass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3" dT="2024-11-18T09:02:26.75" personId="{38C3A224-CC16-43D2-88BF-52B59FED2B5B}" id="{D20C3F57-4202-44AA-B8AB-CF5BBA325A9D}">
    <text>Vid framtida bokningsförfrågningar kommer Johan förmodligen ange felaktig adress då detta skett flertalet gånger. Så byt inte till :Stadsmissionens skolstiftelse, Box 47073, 100 74 Stockholm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.xml"/><Relationship Id="rId3" Type="http://schemas.openxmlformats.org/officeDocument/2006/relationships/table" Target="../tables/table16.xml"/><Relationship Id="rId7" Type="http://schemas.openxmlformats.org/officeDocument/2006/relationships/table" Target="../tables/table20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9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.xml"/><Relationship Id="rId3" Type="http://schemas.openxmlformats.org/officeDocument/2006/relationships/table" Target="../tables/table23.xml"/><Relationship Id="rId7" Type="http://schemas.openxmlformats.org/officeDocument/2006/relationships/table" Target="../tables/table27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5.xml"/><Relationship Id="rId3" Type="http://schemas.openxmlformats.org/officeDocument/2006/relationships/table" Target="../tables/table30.xml"/><Relationship Id="rId7" Type="http://schemas.openxmlformats.org/officeDocument/2006/relationships/table" Target="../tables/table34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33.xml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2.xml"/><Relationship Id="rId3" Type="http://schemas.openxmlformats.org/officeDocument/2006/relationships/table" Target="../tables/table37.xml"/><Relationship Id="rId7" Type="http://schemas.openxmlformats.org/officeDocument/2006/relationships/table" Target="../tables/table41.xml"/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40.xml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9.xml"/><Relationship Id="rId3" Type="http://schemas.openxmlformats.org/officeDocument/2006/relationships/table" Target="../tables/table44.xml"/><Relationship Id="rId7" Type="http://schemas.openxmlformats.org/officeDocument/2006/relationships/table" Target="../tables/table48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47.xml"/><Relationship Id="rId5" Type="http://schemas.openxmlformats.org/officeDocument/2006/relationships/table" Target="../tables/table46.xml"/><Relationship Id="rId4" Type="http://schemas.openxmlformats.org/officeDocument/2006/relationships/table" Target="../tables/table4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6.xml"/><Relationship Id="rId3" Type="http://schemas.openxmlformats.org/officeDocument/2006/relationships/table" Target="../tables/table51.xml"/><Relationship Id="rId7" Type="http://schemas.openxmlformats.org/officeDocument/2006/relationships/table" Target="../tables/table55.xml"/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54.xml"/><Relationship Id="rId5" Type="http://schemas.openxmlformats.org/officeDocument/2006/relationships/table" Target="../tables/table53.xml"/><Relationship Id="rId4" Type="http://schemas.openxmlformats.org/officeDocument/2006/relationships/table" Target="../tables/table5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3.xml"/><Relationship Id="rId3" Type="http://schemas.openxmlformats.org/officeDocument/2006/relationships/table" Target="../tables/table58.xml"/><Relationship Id="rId7" Type="http://schemas.openxmlformats.org/officeDocument/2006/relationships/table" Target="../tables/table62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61.xml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0.xml"/><Relationship Id="rId3" Type="http://schemas.openxmlformats.org/officeDocument/2006/relationships/table" Target="../tables/table65.xml"/><Relationship Id="rId7" Type="http://schemas.openxmlformats.org/officeDocument/2006/relationships/table" Target="../tables/table69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68.xml"/><Relationship Id="rId5" Type="http://schemas.openxmlformats.org/officeDocument/2006/relationships/table" Target="../tables/table67.xml"/><Relationship Id="rId4" Type="http://schemas.openxmlformats.org/officeDocument/2006/relationships/table" Target="../tables/table6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7.xml"/><Relationship Id="rId3" Type="http://schemas.openxmlformats.org/officeDocument/2006/relationships/table" Target="../tables/table72.xml"/><Relationship Id="rId7" Type="http://schemas.openxmlformats.org/officeDocument/2006/relationships/table" Target="../tables/table76.xml"/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75.xml"/><Relationship Id="rId5" Type="http://schemas.openxmlformats.org/officeDocument/2006/relationships/table" Target="../tables/table74.xml"/><Relationship Id="rId4" Type="http://schemas.openxmlformats.org/officeDocument/2006/relationships/table" Target="../tables/table73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4.xml"/><Relationship Id="rId3" Type="http://schemas.openxmlformats.org/officeDocument/2006/relationships/table" Target="../tables/table79.xml"/><Relationship Id="rId7" Type="http://schemas.openxmlformats.org/officeDocument/2006/relationships/table" Target="../tables/table83.xml"/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82.xml"/><Relationship Id="rId5" Type="http://schemas.openxmlformats.org/officeDocument/2006/relationships/table" Target="../tables/table81.xml"/><Relationship Id="rId4" Type="http://schemas.openxmlformats.org/officeDocument/2006/relationships/table" Target="../tables/table80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1.xml"/><Relationship Id="rId3" Type="http://schemas.openxmlformats.org/officeDocument/2006/relationships/table" Target="../tables/table86.xml"/><Relationship Id="rId7" Type="http://schemas.openxmlformats.org/officeDocument/2006/relationships/table" Target="../tables/table90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8.xml"/><Relationship Id="rId3" Type="http://schemas.openxmlformats.org/officeDocument/2006/relationships/table" Target="../tables/table93.xml"/><Relationship Id="rId7" Type="http://schemas.openxmlformats.org/officeDocument/2006/relationships/table" Target="../tables/table97.xml"/><Relationship Id="rId2" Type="http://schemas.openxmlformats.org/officeDocument/2006/relationships/table" Target="../tables/table92.xml"/><Relationship Id="rId1" Type="http://schemas.openxmlformats.org/officeDocument/2006/relationships/printerSettings" Target="../printerSettings/printerSettings14.bin"/><Relationship Id="rId6" Type="http://schemas.openxmlformats.org/officeDocument/2006/relationships/table" Target="../tables/table96.xml"/><Relationship Id="rId5" Type="http://schemas.openxmlformats.org/officeDocument/2006/relationships/table" Target="../tables/table95.xml"/><Relationship Id="rId4" Type="http://schemas.openxmlformats.org/officeDocument/2006/relationships/table" Target="../tables/table9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5.xml"/><Relationship Id="rId3" Type="http://schemas.openxmlformats.org/officeDocument/2006/relationships/table" Target="../tables/table100.xml"/><Relationship Id="rId7" Type="http://schemas.openxmlformats.org/officeDocument/2006/relationships/table" Target="../tables/table104.xml"/><Relationship Id="rId2" Type="http://schemas.openxmlformats.org/officeDocument/2006/relationships/table" Target="../tables/table99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103.xml"/><Relationship Id="rId5" Type="http://schemas.openxmlformats.org/officeDocument/2006/relationships/table" Target="../tables/table102.xml"/><Relationship Id="rId4" Type="http://schemas.openxmlformats.org/officeDocument/2006/relationships/table" Target="../tables/table101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2.xml"/><Relationship Id="rId3" Type="http://schemas.openxmlformats.org/officeDocument/2006/relationships/table" Target="../tables/table107.xml"/><Relationship Id="rId7" Type="http://schemas.openxmlformats.org/officeDocument/2006/relationships/table" Target="../tables/table111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110.xml"/><Relationship Id="rId5" Type="http://schemas.openxmlformats.org/officeDocument/2006/relationships/table" Target="../tables/table109.xml"/><Relationship Id="rId4" Type="http://schemas.openxmlformats.org/officeDocument/2006/relationships/table" Target="../tables/table10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9.xml"/><Relationship Id="rId3" Type="http://schemas.openxmlformats.org/officeDocument/2006/relationships/table" Target="../tables/table114.xml"/><Relationship Id="rId7" Type="http://schemas.openxmlformats.org/officeDocument/2006/relationships/table" Target="../tables/table118.xml"/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17.bin"/><Relationship Id="rId6" Type="http://schemas.openxmlformats.org/officeDocument/2006/relationships/table" Target="../tables/table117.xml"/><Relationship Id="rId5" Type="http://schemas.openxmlformats.org/officeDocument/2006/relationships/table" Target="../tables/table116.xml"/><Relationship Id="rId4" Type="http://schemas.openxmlformats.org/officeDocument/2006/relationships/table" Target="../tables/table115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6.xml"/><Relationship Id="rId3" Type="http://schemas.openxmlformats.org/officeDocument/2006/relationships/table" Target="../tables/table121.xml"/><Relationship Id="rId7" Type="http://schemas.openxmlformats.org/officeDocument/2006/relationships/table" Target="../tables/table125.xml"/><Relationship Id="rId2" Type="http://schemas.openxmlformats.org/officeDocument/2006/relationships/table" Target="../tables/table120.xml"/><Relationship Id="rId1" Type="http://schemas.openxmlformats.org/officeDocument/2006/relationships/printerSettings" Target="../printerSettings/printerSettings18.bin"/><Relationship Id="rId6" Type="http://schemas.openxmlformats.org/officeDocument/2006/relationships/table" Target="../tables/table124.xml"/><Relationship Id="rId5" Type="http://schemas.openxmlformats.org/officeDocument/2006/relationships/table" Target="../tables/table123.xml"/><Relationship Id="rId4" Type="http://schemas.openxmlformats.org/officeDocument/2006/relationships/table" Target="../tables/table122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3.xml"/><Relationship Id="rId3" Type="http://schemas.openxmlformats.org/officeDocument/2006/relationships/table" Target="../tables/table128.xml"/><Relationship Id="rId7" Type="http://schemas.openxmlformats.org/officeDocument/2006/relationships/table" Target="../tables/table132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19.bin"/><Relationship Id="rId6" Type="http://schemas.openxmlformats.org/officeDocument/2006/relationships/table" Target="../tables/table131.xml"/><Relationship Id="rId5" Type="http://schemas.openxmlformats.org/officeDocument/2006/relationships/table" Target="../tables/table130.xml"/><Relationship Id="rId4" Type="http://schemas.openxmlformats.org/officeDocument/2006/relationships/table" Target="../tables/table12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0.xml"/><Relationship Id="rId3" Type="http://schemas.openxmlformats.org/officeDocument/2006/relationships/table" Target="../tables/table135.xml"/><Relationship Id="rId7" Type="http://schemas.openxmlformats.org/officeDocument/2006/relationships/table" Target="../tables/table139.xml"/><Relationship Id="rId2" Type="http://schemas.openxmlformats.org/officeDocument/2006/relationships/table" Target="../tables/table134.xml"/><Relationship Id="rId1" Type="http://schemas.openxmlformats.org/officeDocument/2006/relationships/printerSettings" Target="../printerSettings/printerSettings20.bin"/><Relationship Id="rId6" Type="http://schemas.openxmlformats.org/officeDocument/2006/relationships/table" Target="../tables/table138.xml"/><Relationship Id="rId5" Type="http://schemas.openxmlformats.org/officeDocument/2006/relationships/table" Target="../tables/table137.xml"/><Relationship Id="rId4" Type="http://schemas.openxmlformats.org/officeDocument/2006/relationships/table" Target="../tables/table136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7.xml"/><Relationship Id="rId3" Type="http://schemas.openxmlformats.org/officeDocument/2006/relationships/table" Target="../tables/table142.xml"/><Relationship Id="rId7" Type="http://schemas.openxmlformats.org/officeDocument/2006/relationships/table" Target="../tables/table146.xml"/><Relationship Id="rId2" Type="http://schemas.openxmlformats.org/officeDocument/2006/relationships/table" Target="../tables/table141.xml"/><Relationship Id="rId1" Type="http://schemas.openxmlformats.org/officeDocument/2006/relationships/printerSettings" Target="../printerSettings/printerSettings21.bin"/><Relationship Id="rId6" Type="http://schemas.openxmlformats.org/officeDocument/2006/relationships/table" Target="../tables/table145.xml"/><Relationship Id="rId5" Type="http://schemas.openxmlformats.org/officeDocument/2006/relationships/table" Target="../tables/table144.xml"/><Relationship Id="rId4" Type="http://schemas.openxmlformats.org/officeDocument/2006/relationships/table" Target="../tables/table143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4.xml"/><Relationship Id="rId3" Type="http://schemas.openxmlformats.org/officeDocument/2006/relationships/table" Target="../tables/table149.xml"/><Relationship Id="rId7" Type="http://schemas.openxmlformats.org/officeDocument/2006/relationships/table" Target="../tables/table153.xml"/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22.bin"/><Relationship Id="rId6" Type="http://schemas.openxmlformats.org/officeDocument/2006/relationships/table" Target="../tables/table152.xml"/><Relationship Id="rId5" Type="http://schemas.openxmlformats.org/officeDocument/2006/relationships/table" Target="../tables/table151.xml"/><Relationship Id="rId4" Type="http://schemas.openxmlformats.org/officeDocument/2006/relationships/table" Target="../tables/table150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1.xml"/><Relationship Id="rId3" Type="http://schemas.openxmlformats.org/officeDocument/2006/relationships/table" Target="../tables/table156.xml"/><Relationship Id="rId7" Type="http://schemas.openxmlformats.org/officeDocument/2006/relationships/table" Target="../tables/table160.xml"/><Relationship Id="rId2" Type="http://schemas.openxmlformats.org/officeDocument/2006/relationships/table" Target="../tables/table155.xml"/><Relationship Id="rId1" Type="http://schemas.openxmlformats.org/officeDocument/2006/relationships/printerSettings" Target="../printerSettings/printerSettings23.bin"/><Relationship Id="rId6" Type="http://schemas.openxmlformats.org/officeDocument/2006/relationships/table" Target="../tables/table159.xml"/><Relationship Id="rId5" Type="http://schemas.openxmlformats.org/officeDocument/2006/relationships/table" Target="../tables/table158.xml"/><Relationship Id="rId4" Type="http://schemas.openxmlformats.org/officeDocument/2006/relationships/table" Target="../tables/table157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8.xml"/><Relationship Id="rId3" Type="http://schemas.openxmlformats.org/officeDocument/2006/relationships/table" Target="../tables/table163.xml"/><Relationship Id="rId7" Type="http://schemas.openxmlformats.org/officeDocument/2006/relationships/table" Target="../tables/table167.xml"/><Relationship Id="rId2" Type="http://schemas.openxmlformats.org/officeDocument/2006/relationships/table" Target="../tables/table162.xml"/><Relationship Id="rId1" Type="http://schemas.openxmlformats.org/officeDocument/2006/relationships/printerSettings" Target="../printerSettings/printerSettings24.bin"/><Relationship Id="rId6" Type="http://schemas.openxmlformats.org/officeDocument/2006/relationships/table" Target="../tables/table166.xml"/><Relationship Id="rId5" Type="http://schemas.openxmlformats.org/officeDocument/2006/relationships/table" Target="../tables/table165.xml"/><Relationship Id="rId4" Type="http://schemas.openxmlformats.org/officeDocument/2006/relationships/table" Target="../tables/table164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5.xml"/><Relationship Id="rId3" Type="http://schemas.openxmlformats.org/officeDocument/2006/relationships/table" Target="../tables/table170.xml"/><Relationship Id="rId7" Type="http://schemas.openxmlformats.org/officeDocument/2006/relationships/table" Target="../tables/table174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25.bin"/><Relationship Id="rId6" Type="http://schemas.openxmlformats.org/officeDocument/2006/relationships/table" Target="../tables/table173.xml"/><Relationship Id="rId5" Type="http://schemas.openxmlformats.org/officeDocument/2006/relationships/table" Target="../tables/table172.xml"/><Relationship Id="rId4" Type="http://schemas.openxmlformats.org/officeDocument/2006/relationships/table" Target="../tables/table171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2.xml"/><Relationship Id="rId3" Type="http://schemas.openxmlformats.org/officeDocument/2006/relationships/table" Target="../tables/table177.xml"/><Relationship Id="rId7" Type="http://schemas.openxmlformats.org/officeDocument/2006/relationships/table" Target="../tables/table181.xml"/><Relationship Id="rId2" Type="http://schemas.openxmlformats.org/officeDocument/2006/relationships/table" Target="../tables/table176.xml"/><Relationship Id="rId1" Type="http://schemas.openxmlformats.org/officeDocument/2006/relationships/printerSettings" Target="../printerSettings/printerSettings26.bin"/><Relationship Id="rId6" Type="http://schemas.openxmlformats.org/officeDocument/2006/relationships/table" Target="../tables/table180.xml"/><Relationship Id="rId5" Type="http://schemas.openxmlformats.org/officeDocument/2006/relationships/table" Target="../tables/table179.xml"/><Relationship Id="rId4" Type="http://schemas.openxmlformats.org/officeDocument/2006/relationships/table" Target="../tables/table178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9.xml"/><Relationship Id="rId3" Type="http://schemas.openxmlformats.org/officeDocument/2006/relationships/table" Target="../tables/table184.xml"/><Relationship Id="rId7" Type="http://schemas.openxmlformats.org/officeDocument/2006/relationships/table" Target="../tables/table188.xml"/><Relationship Id="rId2" Type="http://schemas.openxmlformats.org/officeDocument/2006/relationships/table" Target="../tables/table183.xml"/><Relationship Id="rId1" Type="http://schemas.openxmlformats.org/officeDocument/2006/relationships/printerSettings" Target="../printerSettings/printerSettings27.bin"/><Relationship Id="rId6" Type="http://schemas.openxmlformats.org/officeDocument/2006/relationships/table" Target="../tables/table187.xml"/><Relationship Id="rId5" Type="http://schemas.openxmlformats.org/officeDocument/2006/relationships/table" Target="../tables/table186.xml"/><Relationship Id="rId4" Type="http://schemas.openxmlformats.org/officeDocument/2006/relationships/table" Target="../tables/table185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6.xml"/><Relationship Id="rId3" Type="http://schemas.openxmlformats.org/officeDocument/2006/relationships/table" Target="../tables/table191.xml"/><Relationship Id="rId7" Type="http://schemas.openxmlformats.org/officeDocument/2006/relationships/table" Target="../tables/table195.xml"/><Relationship Id="rId2" Type="http://schemas.openxmlformats.org/officeDocument/2006/relationships/table" Target="../tables/table190.xml"/><Relationship Id="rId1" Type="http://schemas.openxmlformats.org/officeDocument/2006/relationships/printerSettings" Target="../printerSettings/printerSettings28.bin"/><Relationship Id="rId6" Type="http://schemas.openxmlformats.org/officeDocument/2006/relationships/table" Target="../tables/table194.xml"/><Relationship Id="rId5" Type="http://schemas.openxmlformats.org/officeDocument/2006/relationships/table" Target="../tables/table193.xml"/><Relationship Id="rId4" Type="http://schemas.openxmlformats.org/officeDocument/2006/relationships/table" Target="../tables/table192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3.xml"/><Relationship Id="rId3" Type="http://schemas.openxmlformats.org/officeDocument/2006/relationships/table" Target="../tables/table198.xml"/><Relationship Id="rId7" Type="http://schemas.openxmlformats.org/officeDocument/2006/relationships/table" Target="../tables/table202.xml"/><Relationship Id="rId2" Type="http://schemas.openxmlformats.org/officeDocument/2006/relationships/table" Target="../tables/table197.xml"/><Relationship Id="rId1" Type="http://schemas.openxmlformats.org/officeDocument/2006/relationships/printerSettings" Target="../printerSettings/printerSettings29.bin"/><Relationship Id="rId6" Type="http://schemas.openxmlformats.org/officeDocument/2006/relationships/table" Target="../tables/table201.xml"/><Relationship Id="rId5" Type="http://schemas.openxmlformats.org/officeDocument/2006/relationships/table" Target="../tables/table200.xml"/><Relationship Id="rId4" Type="http://schemas.openxmlformats.org/officeDocument/2006/relationships/table" Target="../tables/table199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0.xml"/><Relationship Id="rId3" Type="http://schemas.openxmlformats.org/officeDocument/2006/relationships/table" Target="../tables/table205.xml"/><Relationship Id="rId7" Type="http://schemas.openxmlformats.org/officeDocument/2006/relationships/table" Target="../tables/table209.xml"/><Relationship Id="rId2" Type="http://schemas.openxmlformats.org/officeDocument/2006/relationships/table" Target="../tables/table204.xml"/><Relationship Id="rId1" Type="http://schemas.openxmlformats.org/officeDocument/2006/relationships/printerSettings" Target="../printerSettings/printerSettings30.bin"/><Relationship Id="rId6" Type="http://schemas.openxmlformats.org/officeDocument/2006/relationships/table" Target="../tables/table208.xml"/><Relationship Id="rId5" Type="http://schemas.openxmlformats.org/officeDocument/2006/relationships/table" Target="../tables/table207.xml"/><Relationship Id="rId4" Type="http://schemas.openxmlformats.org/officeDocument/2006/relationships/table" Target="../tables/table206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7.xml"/><Relationship Id="rId3" Type="http://schemas.openxmlformats.org/officeDocument/2006/relationships/table" Target="../tables/table212.xml"/><Relationship Id="rId7" Type="http://schemas.openxmlformats.org/officeDocument/2006/relationships/table" Target="../tables/table216.xml"/><Relationship Id="rId2" Type="http://schemas.openxmlformats.org/officeDocument/2006/relationships/table" Target="../tables/table211.xml"/><Relationship Id="rId1" Type="http://schemas.openxmlformats.org/officeDocument/2006/relationships/printerSettings" Target="../printerSettings/printerSettings31.bin"/><Relationship Id="rId6" Type="http://schemas.openxmlformats.org/officeDocument/2006/relationships/table" Target="../tables/table215.xml"/><Relationship Id="rId5" Type="http://schemas.openxmlformats.org/officeDocument/2006/relationships/table" Target="../tables/table214.xml"/><Relationship Id="rId4" Type="http://schemas.openxmlformats.org/officeDocument/2006/relationships/table" Target="../tables/table213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4.xml"/><Relationship Id="rId3" Type="http://schemas.openxmlformats.org/officeDocument/2006/relationships/table" Target="../tables/table219.xml"/><Relationship Id="rId7" Type="http://schemas.openxmlformats.org/officeDocument/2006/relationships/table" Target="../tables/table223.xml"/><Relationship Id="rId2" Type="http://schemas.openxmlformats.org/officeDocument/2006/relationships/table" Target="../tables/table218.xml"/><Relationship Id="rId1" Type="http://schemas.openxmlformats.org/officeDocument/2006/relationships/printerSettings" Target="../printerSettings/printerSettings32.bin"/><Relationship Id="rId6" Type="http://schemas.openxmlformats.org/officeDocument/2006/relationships/table" Target="../tables/table222.xml"/><Relationship Id="rId5" Type="http://schemas.openxmlformats.org/officeDocument/2006/relationships/table" Target="../tables/table221.xml"/><Relationship Id="rId4" Type="http://schemas.openxmlformats.org/officeDocument/2006/relationships/table" Target="../tables/table220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1.xml"/><Relationship Id="rId3" Type="http://schemas.openxmlformats.org/officeDocument/2006/relationships/table" Target="../tables/table226.xml"/><Relationship Id="rId7" Type="http://schemas.openxmlformats.org/officeDocument/2006/relationships/table" Target="../tables/table230.xml"/><Relationship Id="rId2" Type="http://schemas.openxmlformats.org/officeDocument/2006/relationships/table" Target="../tables/table225.xml"/><Relationship Id="rId1" Type="http://schemas.openxmlformats.org/officeDocument/2006/relationships/printerSettings" Target="../printerSettings/printerSettings33.bin"/><Relationship Id="rId6" Type="http://schemas.openxmlformats.org/officeDocument/2006/relationships/table" Target="../tables/table229.xml"/><Relationship Id="rId5" Type="http://schemas.openxmlformats.org/officeDocument/2006/relationships/table" Target="../tables/table228.xml"/><Relationship Id="rId4" Type="http://schemas.openxmlformats.org/officeDocument/2006/relationships/table" Target="../tables/table227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8.xml"/><Relationship Id="rId3" Type="http://schemas.openxmlformats.org/officeDocument/2006/relationships/table" Target="../tables/table233.xml"/><Relationship Id="rId7" Type="http://schemas.openxmlformats.org/officeDocument/2006/relationships/table" Target="../tables/table237.xml"/><Relationship Id="rId2" Type="http://schemas.openxmlformats.org/officeDocument/2006/relationships/table" Target="../tables/table232.xml"/><Relationship Id="rId1" Type="http://schemas.openxmlformats.org/officeDocument/2006/relationships/printerSettings" Target="../printerSettings/printerSettings34.bin"/><Relationship Id="rId6" Type="http://schemas.openxmlformats.org/officeDocument/2006/relationships/table" Target="../tables/table236.xml"/><Relationship Id="rId5" Type="http://schemas.openxmlformats.org/officeDocument/2006/relationships/table" Target="../tables/table235.xml"/><Relationship Id="rId4" Type="http://schemas.openxmlformats.org/officeDocument/2006/relationships/table" Target="../tables/table234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5.xml"/><Relationship Id="rId3" Type="http://schemas.openxmlformats.org/officeDocument/2006/relationships/table" Target="../tables/table240.xml"/><Relationship Id="rId7" Type="http://schemas.openxmlformats.org/officeDocument/2006/relationships/table" Target="../tables/table244.xml"/><Relationship Id="rId2" Type="http://schemas.openxmlformats.org/officeDocument/2006/relationships/table" Target="../tables/table239.xml"/><Relationship Id="rId1" Type="http://schemas.openxmlformats.org/officeDocument/2006/relationships/printerSettings" Target="../printerSettings/printerSettings35.bin"/><Relationship Id="rId6" Type="http://schemas.openxmlformats.org/officeDocument/2006/relationships/table" Target="../tables/table243.xml"/><Relationship Id="rId5" Type="http://schemas.openxmlformats.org/officeDocument/2006/relationships/table" Target="../tables/table242.xml"/><Relationship Id="rId4" Type="http://schemas.openxmlformats.org/officeDocument/2006/relationships/table" Target="../tables/table241.xm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52.xml"/><Relationship Id="rId3" Type="http://schemas.openxmlformats.org/officeDocument/2006/relationships/table" Target="../tables/table247.xml"/><Relationship Id="rId7" Type="http://schemas.openxmlformats.org/officeDocument/2006/relationships/table" Target="../tables/table251.xml"/><Relationship Id="rId2" Type="http://schemas.openxmlformats.org/officeDocument/2006/relationships/table" Target="../tables/table246.xml"/><Relationship Id="rId1" Type="http://schemas.openxmlformats.org/officeDocument/2006/relationships/printerSettings" Target="../printerSettings/printerSettings36.bin"/><Relationship Id="rId6" Type="http://schemas.openxmlformats.org/officeDocument/2006/relationships/table" Target="../tables/table250.xml"/><Relationship Id="rId5" Type="http://schemas.openxmlformats.org/officeDocument/2006/relationships/table" Target="../tables/table249.xml"/><Relationship Id="rId4" Type="http://schemas.openxmlformats.org/officeDocument/2006/relationships/table" Target="../tables/table248.xm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59.xml"/><Relationship Id="rId3" Type="http://schemas.openxmlformats.org/officeDocument/2006/relationships/table" Target="../tables/table254.xml"/><Relationship Id="rId7" Type="http://schemas.openxmlformats.org/officeDocument/2006/relationships/table" Target="../tables/table258.xml"/><Relationship Id="rId2" Type="http://schemas.openxmlformats.org/officeDocument/2006/relationships/table" Target="../tables/table253.xml"/><Relationship Id="rId1" Type="http://schemas.openxmlformats.org/officeDocument/2006/relationships/printerSettings" Target="../printerSettings/printerSettings37.bin"/><Relationship Id="rId6" Type="http://schemas.openxmlformats.org/officeDocument/2006/relationships/table" Target="../tables/table257.xml"/><Relationship Id="rId5" Type="http://schemas.openxmlformats.org/officeDocument/2006/relationships/table" Target="../tables/table256.xml"/><Relationship Id="rId4" Type="http://schemas.openxmlformats.org/officeDocument/2006/relationships/table" Target="../tables/table255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66.xml"/><Relationship Id="rId3" Type="http://schemas.openxmlformats.org/officeDocument/2006/relationships/table" Target="../tables/table261.xml"/><Relationship Id="rId7" Type="http://schemas.openxmlformats.org/officeDocument/2006/relationships/table" Target="../tables/table265.xml"/><Relationship Id="rId2" Type="http://schemas.openxmlformats.org/officeDocument/2006/relationships/table" Target="../tables/table260.xml"/><Relationship Id="rId1" Type="http://schemas.openxmlformats.org/officeDocument/2006/relationships/printerSettings" Target="../printerSettings/printerSettings38.bin"/><Relationship Id="rId6" Type="http://schemas.openxmlformats.org/officeDocument/2006/relationships/table" Target="../tables/table264.xml"/><Relationship Id="rId5" Type="http://schemas.openxmlformats.org/officeDocument/2006/relationships/table" Target="../tables/table263.xml"/><Relationship Id="rId4" Type="http://schemas.openxmlformats.org/officeDocument/2006/relationships/table" Target="../tables/table262.xm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3.xml"/><Relationship Id="rId3" Type="http://schemas.openxmlformats.org/officeDocument/2006/relationships/table" Target="../tables/table268.xml"/><Relationship Id="rId7" Type="http://schemas.openxmlformats.org/officeDocument/2006/relationships/table" Target="../tables/table272.xml"/><Relationship Id="rId2" Type="http://schemas.openxmlformats.org/officeDocument/2006/relationships/table" Target="../tables/table267.xml"/><Relationship Id="rId1" Type="http://schemas.openxmlformats.org/officeDocument/2006/relationships/printerSettings" Target="../printerSettings/printerSettings39.bin"/><Relationship Id="rId6" Type="http://schemas.openxmlformats.org/officeDocument/2006/relationships/table" Target="../tables/table271.xml"/><Relationship Id="rId5" Type="http://schemas.openxmlformats.org/officeDocument/2006/relationships/table" Target="../tables/table270.xml"/><Relationship Id="rId4" Type="http://schemas.openxmlformats.org/officeDocument/2006/relationships/table" Target="../tables/table269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0.xml"/><Relationship Id="rId3" Type="http://schemas.openxmlformats.org/officeDocument/2006/relationships/table" Target="../tables/table275.xml"/><Relationship Id="rId7" Type="http://schemas.openxmlformats.org/officeDocument/2006/relationships/table" Target="../tables/table279.xml"/><Relationship Id="rId2" Type="http://schemas.openxmlformats.org/officeDocument/2006/relationships/table" Target="../tables/table274.xml"/><Relationship Id="rId1" Type="http://schemas.openxmlformats.org/officeDocument/2006/relationships/printerSettings" Target="../printerSettings/printerSettings40.bin"/><Relationship Id="rId6" Type="http://schemas.openxmlformats.org/officeDocument/2006/relationships/table" Target="../tables/table278.xml"/><Relationship Id="rId5" Type="http://schemas.openxmlformats.org/officeDocument/2006/relationships/table" Target="../tables/table277.xml"/><Relationship Id="rId4" Type="http://schemas.openxmlformats.org/officeDocument/2006/relationships/table" Target="../tables/table276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7.xml"/><Relationship Id="rId3" Type="http://schemas.openxmlformats.org/officeDocument/2006/relationships/table" Target="../tables/table282.xml"/><Relationship Id="rId7" Type="http://schemas.openxmlformats.org/officeDocument/2006/relationships/table" Target="../tables/table286.xml"/><Relationship Id="rId2" Type="http://schemas.openxmlformats.org/officeDocument/2006/relationships/table" Target="../tables/table281.xml"/><Relationship Id="rId1" Type="http://schemas.openxmlformats.org/officeDocument/2006/relationships/printerSettings" Target="../printerSettings/printerSettings41.bin"/><Relationship Id="rId6" Type="http://schemas.openxmlformats.org/officeDocument/2006/relationships/table" Target="../tables/table285.xml"/><Relationship Id="rId5" Type="http://schemas.openxmlformats.org/officeDocument/2006/relationships/table" Target="../tables/table284.xml"/><Relationship Id="rId4" Type="http://schemas.openxmlformats.org/officeDocument/2006/relationships/table" Target="../tables/table283.xm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94.xml"/><Relationship Id="rId3" Type="http://schemas.openxmlformats.org/officeDocument/2006/relationships/table" Target="../tables/table289.xml"/><Relationship Id="rId7" Type="http://schemas.openxmlformats.org/officeDocument/2006/relationships/table" Target="../tables/table293.xml"/><Relationship Id="rId2" Type="http://schemas.openxmlformats.org/officeDocument/2006/relationships/table" Target="../tables/table288.xml"/><Relationship Id="rId1" Type="http://schemas.openxmlformats.org/officeDocument/2006/relationships/printerSettings" Target="../printerSettings/printerSettings42.bin"/><Relationship Id="rId6" Type="http://schemas.openxmlformats.org/officeDocument/2006/relationships/table" Target="../tables/table292.xml"/><Relationship Id="rId5" Type="http://schemas.openxmlformats.org/officeDocument/2006/relationships/table" Target="../tables/table291.xml"/><Relationship Id="rId4" Type="http://schemas.openxmlformats.org/officeDocument/2006/relationships/table" Target="../tables/table290.xm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1.xml"/><Relationship Id="rId3" Type="http://schemas.openxmlformats.org/officeDocument/2006/relationships/table" Target="../tables/table296.xml"/><Relationship Id="rId7" Type="http://schemas.openxmlformats.org/officeDocument/2006/relationships/table" Target="../tables/table300.xml"/><Relationship Id="rId2" Type="http://schemas.openxmlformats.org/officeDocument/2006/relationships/table" Target="../tables/table295.xml"/><Relationship Id="rId1" Type="http://schemas.openxmlformats.org/officeDocument/2006/relationships/printerSettings" Target="../printerSettings/printerSettings43.bin"/><Relationship Id="rId6" Type="http://schemas.openxmlformats.org/officeDocument/2006/relationships/table" Target="../tables/table299.xml"/><Relationship Id="rId5" Type="http://schemas.openxmlformats.org/officeDocument/2006/relationships/table" Target="../tables/table298.xml"/><Relationship Id="rId4" Type="http://schemas.openxmlformats.org/officeDocument/2006/relationships/table" Target="../tables/table297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8.xml"/><Relationship Id="rId3" Type="http://schemas.openxmlformats.org/officeDocument/2006/relationships/table" Target="../tables/table303.xml"/><Relationship Id="rId7" Type="http://schemas.openxmlformats.org/officeDocument/2006/relationships/table" Target="../tables/table307.xml"/><Relationship Id="rId2" Type="http://schemas.openxmlformats.org/officeDocument/2006/relationships/table" Target="../tables/table302.xml"/><Relationship Id="rId1" Type="http://schemas.openxmlformats.org/officeDocument/2006/relationships/printerSettings" Target="../printerSettings/printerSettings44.bin"/><Relationship Id="rId6" Type="http://schemas.openxmlformats.org/officeDocument/2006/relationships/table" Target="../tables/table306.xml"/><Relationship Id="rId5" Type="http://schemas.openxmlformats.org/officeDocument/2006/relationships/table" Target="../tables/table305.xml"/><Relationship Id="rId4" Type="http://schemas.openxmlformats.org/officeDocument/2006/relationships/table" Target="../tables/table304.xm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5.xml"/><Relationship Id="rId3" Type="http://schemas.openxmlformats.org/officeDocument/2006/relationships/table" Target="../tables/table310.xml"/><Relationship Id="rId7" Type="http://schemas.openxmlformats.org/officeDocument/2006/relationships/table" Target="../tables/table314.xml"/><Relationship Id="rId2" Type="http://schemas.openxmlformats.org/officeDocument/2006/relationships/table" Target="../tables/table309.xml"/><Relationship Id="rId1" Type="http://schemas.openxmlformats.org/officeDocument/2006/relationships/printerSettings" Target="../printerSettings/printerSettings45.bin"/><Relationship Id="rId6" Type="http://schemas.openxmlformats.org/officeDocument/2006/relationships/table" Target="../tables/table313.xml"/><Relationship Id="rId5" Type="http://schemas.openxmlformats.org/officeDocument/2006/relationships/table" Target="../tables/table312.xml"/><Relationship Id="rId4" Type="http://schemas.openxmlformats.org/officeDocument/2006/relationships/table" Target="../tables/table311.xm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2.xml"/><Relationship Id="rId3" Type="http://schemas.openxmlformats.org/officeDocument/2006/relationships/table" Target="../tables/table317.xml"/><Relationship Id="rId7" Type="http://schemas.openxmlformats.org/officeDocument/2006/relationships/table" Target="../tables/table321.xml"/><Relationship Id="rId2" Type="http://schemas.openxmlformats.org/officeDocument/2006/relationships/table" Target="../tables/table316.xml"/><Relationship Id="rId1" Type="http://schemas.openxmlformats.org/officeDocument/2006/relationships/printerSettings" Target="../printerSettings/printerSettings46.bin"/><Relationship Id="rId6" Type="http://schemas.openxmlformats.org/officeDocument/2006/relationships/table" Target="../tables/table320.xml"/><Relationship Id="rId5" Type="http://schemas.openxmlformats.org/officeDocument/2006/relationships/table" Target="../tables/table319.xml"/><Relationship Id="rId4" Type="http://schemas.openxmlformats.org/officeDocument/2006/relationships/table" Target="../tables/table318.xm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9.xml"/><Relationship Id="rId3" Type="http://schemas.openxmlformats.org/officeDocument/2006/relationships/table" Target="../tables/table324.xml"/><Relationship Id="rId7" Type="http://schemas.openxmlformats.org/officeDocument/2006/relationships/table" Target="../tables/table328.xml"/><Relationship Id="rId2" Type="http://schemas.openxmlformats.org/officeDocument/2006/relationships/table" Target="../tables/table323.xml"/><Relationship Id="rId1" Type="http://schemas.openxmlformats.org/officeDocument/2006/relationships/printerSettings" Target="../printerSettings/printerSettings47.bin"/><Relationship Id="rId6" Type="http://schemas.openxmlformats.org/officeDocument/2006/relationships/table" Target="../tables/table327.xml"/><Relationship Id="rId5" Type="http://schemas.openxmlformats.org/officeDocument/2006/relationships/table" Target="../tables/table326.xml"/><Relationship Id="rId4" Type="http://schemas.openxmlformats.org/officeDocument/2006/relationships/table" Target="../tables/table325.xm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36.xml"/><Relationship Id="rId3" Type="http://schemas.openxmlformats.org/officeDocument/2006/relationships/table" Target="../tables/table331.xml"/><Relationship Id="rId7" Type="http://schemas.openxmlformats.org/officeDocument/2006/relationships/table" Target="../tables/table335.xml"/><Relationship Id="rId2" Type="http://schemas.openxmlformats.org/officeDocument/2006/relationships/table" Target="../tables/table330.xml"/><Relationship Id="rId1" Type="http://schemas.openxmlformats.org/officeDocument/2006/relationships/printerSettings" Target="../printerSettings/printerSettings48.bin"/><Relationship Id="rId6" Type="http://schemas.openxmlformats.org/officeDocument/2006/relationships/table" Target="../tables/table334.xml"/><Relationship Id="rId5" Type="http://schemas.openxmlformats.org/officeDocument/2006/relationships/table" Target="../tables/table333.xml"/><Relationship Id="rId4" Type="http://schemas.openxmlformats.org/officeDocument/2006/relationships/table" Target="../tables/table332.xm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43.xml"/><Relationship Id="rId3" Type="http://schemas.openxmlformats.org/officeDocument/2006/relationships/table" Target="../tables/table338.xml"/><Relationship Id="rId7" Type="http://schemas.openxmlformats.org/officeDocument/2006/relationships/table" Target="../tables/table342.xml"/><Relationship Id="rId2" Type="http://schemas.openxmlformats.org/officeDocument/2006/relationships/table" Target="../tables/table337.xml"/><Relationship Id="rId1" Type="http://schemas.openxmlformats.org/officeDocument/2006/relationships/printerSettings" Target="../printerSettings/printerSettings49.bin"/><Relationship Id="rId6" Type="http://schemas.openxmlformats.org/officeDocument/2006/relationships/table" Target="../tables/table341.xml"/><Relationship Id="rId5" Type="http://schemas.openxmlformats.org/officeDocument/2006/relationships/table" Target="../tables/table340.xml"/><Relationship Id="rId4" Type="http://schemas.openxmlformats.org/officeDocument/2006/relationships/table" Target="../tables/table339.xm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50.xml"/><Relationship Id="rId3" Type="http://schemas.openxmlformats.org/officeDocument/2006/relationships/table" Target="../tables/table345.xml"/><Relationship Id="rId7" Type="http://schemas.openxmlformats.org/officeDocument/2006/relationships/table" Target="../tables/table349.xml"/><Relationship Id="rId2" Type="http://schemas.openxmlformats.org/officeDocument/2006/relationships/table" Target="../tables/table344.xml"/><Relationship Id="rId1" Type="http://schemas.openxmlformats.org/officeDocument/2006/relationships/printerSettings" Target="../printerSettings/printerSettings50.bin"/><Relationship Id="rId6" Type="http://schemas.openxmlformats.org/officeDocument/2006/relationships/table" Target="../tables/table348.xml"/><Relationship Id="rId5" Type="http://schemas.openxmlformats.org/officeDocument/2006/relationships/table" Target="../tables/table347.xml"/><Relationship Id="rId4" Type="http://schemas.openxmlformats.org/officeDocument/2006/relationships/table" Target="../tables/table346.xm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57.xml"/><Relationship Id="rId3" Type="http://schemas.openxmlformats.org/officeDocument/2006/relationships/table" Target="../tables/table352.xml"/><Relationship Id="rId7" Type="http://schemas.openxmlformats.org/officeDocument/2006/relationships/table" Target="../tables/table356.xml"/><Relationship Id="rId2" Type="http://schemas.openxmlformats.org/officeDocument/2006/relationships/table" Target="../tables/table351.xml"/><Relationship Id="rId1" Type="http://schemas.openxmlformats.org/officeDocument/2006/relationships/printerSettings" Target="../printerSettings/printerSettings51.bin"/><Relationship Id="rId6" Type="http://schemas.openxmlformats.org/officeDocument/2006/relationships/table" Target="../tables/table355.xml"/><Relationship Id="rId5" Type="http://schemas.openxmlformats.org/officeDocument/2006/relationships/table" Target="../tables/table354.xml"/><Relationship Id="rId4" Type="http://schemas.openxmlformats.org/officeDocument/2006/relationships/table" Target="../tables/table353.xm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64.xml"/><Relationship Id="rId3" Type="http://schemas.openxmlformats.org/officeDocument/2006/relationships/table" Target="../tables/table359.xml"/><Relationship Id="rId7" Type="http://schemas.openxmlformats.org/officeDocument/2006/relationships/table" Target="../tables/table363.xml"/><Relationship Id="rId2" Type="http://schemas.openxmlformats.org/officeDocument/2006/relationships/table" Target="../tables/table358.xml"/><Relationship Id="rId1" Type="http://schemas.openxmlformats.org/officeDocument/2006/relationships/printerSettings" Target="../printerSettings/printerSettings52.bin"/><Relationship Id="rId6" Type="http://schemas.openxmlformats.org/officeDocument/2006/relationships/table" Target="../tables/table362.xml"/><Relationship Id="rId5" Type="http://schemas.openxmlformats.org/officeDocument/2006/relationships/table" Target="../tables/table361.xml"/><Relationship Id="rId4" Type="http://schemas.openxmlformats.org/officeDocument/2006/relationships/table" Target="../tables/table360.xm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71.xml"/><Relationship Id="rId3" Type="http://schemas.openxmlformats.org/officeDocument/2006/relationships/table" Target="../tables/table366.xml"/><Relationship Id="rId7" Type="http://schemas.openxmlformats.org/officeDocument/2006/relationships/table" Target="../tables/table370.xml"/><Relationship Id="rId2" Type="http://schemas.openxmlformats.org/officeDocument/2006/relationships/table" Target="../tables/table365.xml"/><Relationship Id="rId1" Type="http://schemas.openxmlformats.org/officeDocument/2006/relationships/printerSettings" Target="../printerSettings/printerSettings53.bin"/><Relationship Id="rId6" Type="http://schemas.openxmlformats.org/officeDocument/2006/relationships/table" Target="../tables/table369.xml"/><Relationship Id="rId5" Type="http://schemas.openxmlformats.org/officeDocument/2006/relationships/table" Target="../tables/table368.xml"/><Relationship Id="rId4" Type="http://schemas.openxmlformats.org/officeDocument/2006/relationships/table" Target="../tables/table367.xml"/></Relationships>
</file>

<file path=xl/worksheets/_rels/sheet54.xml.rels><?xml version="1.0" encoding="UTF-8" standalone="yes"?>
<Relationships xmlns="http://schemas.openxmlformats.org/package/2006/relationships"><Relationship Id="rId13" Type="http://schemas.openxmlformats.org/officeDocument/2006/relationships/hyperlink" Target="mailto:hanna.nohlert@gmail.com" TargetMode="External"/><Relationship Id="rId18" Type="http://schemas.openxmlformats.org/officeDocument/2006/relationships/hyperlink" Target="mailto:madde.olsson@friidrott.se" TargetMode="External"/><Relationship Id="rId26" Type="http://schemas.openxmlformats.org/officeDocument/2006/relationships/hyperlink" Target="mailto:andreas.gardstam@realgymnasiet.se" TargetMode="External"/><Relationship Id="rId39" Type="http://schemas.openxmlformats.org/officeDocument/2006/relationships/hyperlink" Target="mailto:adde_engstrom@hotmail.com" TargetMode="External"/><Relationship Id="rId21" Type="http://schemas.openxmlformats.org/officeDocument/2006/relationships/hyperlink" Target="mailto:malingustafsson59@gmail.com" TargetMode="External"/><Relationship Id="rId34" Type="http://schemas.openxmlformats.org/officeDocument/2006/relationships/hyperlink" Target="mailto:jenny.akerlund@vasteras.se" TargetMode="External"/><Relationship Id="rId42" Type="http://schemas.openxmlformats.org/officeDocument/2006/relationships/hyperlink" Target="mailto:maberglund@live.se" TargetMode="External"/><Relationship Id="rId47" Type="http://schemas.openxmlformats.org/officeDocument/2006/relationships/hyperlink" Target="mailto:mathias@schon.se" TargetMode="External"/><Relationship Id="rId50" Type="http://schemas.openxmlformats.org/officeDocument/2006/relationships/hyperlink" Target="mailto:matilda1990@gmail.com" TargetMode="External"/><Relationship Id="rId55" Type="http://schemas.openxmlformats.org/officeDocument/2006/relationships/hyperlink" Target="mailto:kristoffer@kopparhalsan.se" TargetMode="External"/><Relationship Id="rId7" Type="http://schemas.openxmlformats.org/officeDocument/2006/relationships/hyperlink" Target="mailto:headcoach52@hotmail.com" TargetMode="External"/><Relationship Id="rId2" Type="http://schemas.openxmlformats.org/officeDocument/2006/relationships/hyperlink" Target="mailto:lirarna@idrottsforskolan.se" TargetMode="External"/><Relationship Id="rId16" Type="http://schemas.openxmlformats.org/officeDocument/2006/relationships/hyperlink" Target="mailto:daniel.lagergren@vasteras.se" TargetMode="External"/><Relationship Id="rId29" Type="http://schemas.openxmlformats.org/officeDocument/2006/relationships/hyperlink" Target="mailto:Kansli@gideonsbergsif.se" TargetMode="External"/><Relationship Id="rId11" Type="http://schemas.openxmlformats.org/officeDocument/2006/relationships/hyperlink" Target="mailto:mikael@engbom.net" TargetMode="External"/><Relationship Id="rId24" Type="http://schemas.openxmlformats.org/officeDocument/2006/relationships/hyperlink" Target="mailto:angelica.nordfeldt@vasteras.se" TargetMode="External"/><Relationship Id="rId32" Type="http://schemas.openxmlformats.org/officeDocument/2006/relationships/hyperlink" Target="mailto:ida.leek@vasteras.se" TargetMode="External"/><Relationship Id="rId37" Type="http://schemas.openxmlformats.org/officeDocument/2006/relationships/hyperlink" Target="mailto:kansli@vikfotboll.se" TargetMode="External"/><Relationship Id="rId40" Type="http://schemas.openxmlformats.org/officeDocument/2006/relationships/hyperlink" Target="mailto:annie_andren@hotmail.com" TargetMode="External"/><Relationship Id="rId45" Type="http://schemas.openxmlformats.org/officeDocument/2006/relationships/hyperlink" Target="mailto:k.drozdibob@gmail.com" TargetMode="External"/><Relationship Id="rId53" Type="http://schemas.openxmlformats.org/officeDocument/2006/relationships/hyperlink" Target="mailto:faktura@vasteras.friskissvettis.se" TargetMode="External"/><Relationship Id="rId58" Type="http://schemas.openxmlformats.org/officeDocument/2006/relationships/table" Target="../tables/table372.xml"/><Relationship Id="rId5" Type="http://schemas.openxmlformats.org/officeDocument/2006/relationships/hyperlink" Target="mailto:linuslindgren@hotmail.com" TargetMode="External"/><Relationship Id="rId19" Type="http://schemas.openxmlformats.org/officeDocument/2006/relationships/hyperlink" Target="mailto:madde.olsson@friidrott.se" TargetMode="External"/><Relationship Id="rId4" Type="http://schemas.openxmlformats.org/officeDocument/2006/relationships/hyperlink" Target="mailto:faktura2043_vskbandyevent@erip.se" TargetMode="External"/><Relationship Id="rId9" Type="http://schemas.openxmlformats.org/officeDocument/2006/relationships/hyperlink" Target="mailto:Marikak98@hotmail.com" TargetMode="External"/><Relationship Id="rId14" Type="http://schemas.openxmlformats.org/officeDocument/2006/relationships/hyperlink" Target="mailto:marinela.atanasova@noblaskolan.se" TargetMode="External"/><Relationship Id="rId22" Type="http://schemas.openxmlformats.org/officeDocument/2006/relationships/hyperlink" Target="mailto:maria@rydfjord.se" TargetMode="External"/><Relationship Id="rId27" Type="http://schemas.openxmlformats.org/officeDocument/2006/relationships/hyperlink" Target="mailto:Ekonomi@skiljebosk.nu" TargetMode="External"/><Relationship Id="rId30" Type="http://schemas.openxmlformats.org/officeDocument/2006/relationships/hyperlink" Target="mailto:lofo0708@hotmail.com" TargetMode="External"/><Relationship Id="rId35" Type="http://schemas.openxmlformats.org/officeDocument/2006/relationships/hyperlink" Target="mailto:jenny.nordlund@vasteras.se" TargetMode="External"/><Relationship Id="rId43" Type="http://schemas.openxmlformats.org/officeDocument/2006/relationships/hyperlink" Target="mailto:pontus.willman@vasteras.se" TargetMode="External"/><Relationship Id="rId48" Type="http://schemas.openxmlformats.org/officeDocument/2006/relationships/hyperlink" Target="mailto:sbarkman@hotmail.com" TargetMode="External"/><Relationship Id="rId56" Type="http://schemas.openxmlformats.org/officeDocument/2006/relationships/printerSettings" Target="../printerSettings/printerSettings54.bin"/><Relationship Id="rId8" Type="http://schemas.openxmlformats.org/officeDocument/2006/relationships/hyperlink" Target="mailto:kristina.granstrom@hotmail.com" TargetMode="External"/><Relationship Id="rId51" Type="http://schemas.openxmlformats.org/officeDocument/2006/relationships/hyperlink" Target="mailto:jonas_gard@hotmail.com" TargetMode="External"/><Relationship Id="rId3" Type="http://schemas.openxmlformats.org/officeDocument/2006/relationships/hyperlink" Target="mailto:info@barnkompani.se" TargetMode="External"/><Relationship Id="rId12" Type="http://schemas.openxmlformats.org/officeDocument/2006/relationships/hyperlink" Target="mailto:mikael@engbom.net" TargetMode="External"/><Relationship Id="rId17" Type="http://schemas.openxmlformats.org/officeDocument/2006/relationships/hyperlink" Target="mailto:anki.thomson@jenseneducation.se" TargetMode="External"/><Relationship Id="rId25" Type="http://schemas.openxmlformats.org/officeDocument/2006/relationships/hyperlink" Target="mailto:inkfakturor@stadsmissionensskolstiftelse.se" TargetMode="External"/><Relationship Id="rId33" Type="http://schemas.openxmlformats.org/officeDocument/2006/relationships/hyperlink" Target="mailto:Hornafrik.if@hotmail.com" TargetMode="External"/><Relationship Id="rId38" Type="http://schemas.openxmlformats.org/officeDocument/2006/relationships/hyperlink" Target="mailto:akka.backstrom@gmail.com" TargetMode="External"/><Relationship Id="rId46" Type="http://schemas.openxmlformats.org/officeDocument/2006/relationships/hyperlink" Target="mailto:mathias@schon.se" TargetMode="External"/><Relationship Id="rId59" Type="http://schemas.openxmlformats.org/officeDocument/2006/relationships/comments" Target="../comments1.xml"/><Relationship Id="rId20" Type="http://schemas.openxmlformats.org/officeDocument/2006/relationships/hyperlink" Target="mailto:madde.olsson@friidrott.se" TargetMode="External"/><Relationship Id="rId41" Type="http://schemas.openxmlformats.org/officeDocument/2006/relationships/hyperlink" Target="mailto:Ebbahjalmarsson@live.se" TargetMode="External"/><Relationship Id="rId54" Type="http://schemas.openxmlformats.org/officeDocument/2006/relationships/hyperlink" Target="mailto:sebastian@kopparhalsan.se" TargetMode="External"/><Relationship Id="rId1" Type="http://schemas.openxmlformats.org/officeDocument/2006/relationships/hyperlink" Target="mailto:melinda.ristomidemalm@grillska.se" TargetMode="External"/><Relationship Id="rId6" Type="http://schemas.openxmlformats.org/officeDocument/2006/relationships/hyperlink" Target="mailto:efakt.ckutbildning@devo.se" TargetMode="External"/><Relationship Id="rId15" Type="http://schemas.openxmlformats.org/officeDocument/2006/relationships/hyperlink" Target="mailto:johan.andersson@grillska.se" TargetMode="External"/><Relationship Id="rId23" Type="http://schemas.openxmlformats.org/officeDocument/2006/relationships/hyperlink" Target="mailto:catarina.holmlund@vasteras.se" TargetMode="External"/><Relationship Id="rId28" Type="http://schemas.openxmlformats.org/officeDocument/2006/relationships/hyperlink" Target="mailto:danfroejd@gmail.com" TargetMode="External"/><Relationship Id="rId36" Type="http://schemas.openxmlformats.org/officeDocument/2006/relationships/hyperlink" Target="mailto:kansli@vikfotboll.se" TargetMode="External"/><Relationship Id="rId49" Type="http://schemas.openxmlformats.org/officeDocument/2006/relationships/hyperlink" Target="mailto:Marikak98@hotmail.com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mailto:emeli.fahlen@hotmail.com" TargetMode="External"/><Relationship Id="rId31" Type="http://schemas.openxmlformats.org/officeDocument/2006/relationships/hyperlink" Target="mailto:Thereseforslund@live.se" TargetMode="External"/><Relationship Id="rId44" Type="http://schemas.openxmlformats.org/officeDocument/2006/relationships/hyperlink" Target="mailto:orjan.carrwik@svenskfotboll.se" TargetMode="External"/><Relationship Id="rId52" Type="http://schemas.openxmlformats.org/officeDocument/2006/relationships/hyperlink" Target="mailto:anna.siggelin@hitachienergy.com" TargetMode="External"/><Relationship Id="rId60" Type="http://schemas.microsoft.com/office/2017/10/relationships/threadedComment" Target="../threadedComments/threadedComment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5.xml"/><Relationship Id="rId2" Type="http://schemas.openxmlformats.org/officeDocument/2006/relationships/table" Target="../tables/table374.xml"/><Relationship Id="rId1" Type="http://schemas.openxmlformats.org/officeDocument/2006/relationships/table" Target="../tables/table37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D885-2951-43BE-B1E7-C75BEB1A94FB}">
  <sheetPr codeName="Blad1"/>
  <dimension ref="A1:Y23"/>
  <sheetViews>
    <sheetView showGridLines="0" zoomScaleNormal="100" workbookViewId="0">
      <pane ySplit="2" topLeftCell="A3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Måndag1</f>
        <v>45656</v>
      </c>
      <c r="W1" s="39">
        <f>Söndag1</f>
        <v>45662</v>
      </c>
      <c r="X1" s="40">
        <f>WEEKNUM(Söndag1, 2)</f>
        <v>1</v>
      </c>
      <c r="Y1" s="41" t="str">
        <f>"V. "&amp;X1&amp;", "&amp;TEXT(V1,"D MMM")&amp;"-"&amp;TEXT(W1,"D MMM")</f>
        <v>V. 1, 30 dec-5 jan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Måndag1</f>
        <v>45656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2">PROPER(TEXT(B5, "dddd"))</f>
        <v>Tisdag</v>
      </c>
      <c r="B5" s="93">
        <f t="shared" ref="B5" si="3">Tisdag1</f>
        <v>45657</v>
      </c>
      <c r="C5" s="46">
        <v>0.70833333333333337</v>
      </c>
      <c r="D5" s="54">
        <v>0.83333333333333337</v>
      </c>
      <c r="E5" s="55"/>
      <c r="F5" s="56" t="s">
        <v>887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</row>
    <row r="7" spans="1:25" ht="15" customHeight="1" x14ac:dyDescent="0.3">
      <c r="A7" s="91" t="str">
        <f t="shared" ref="A7" si="4">PROPER(TEXT(B7, "dddd"))</f>
        <v>Onsdag</v>
      </c>
      <c r="B7" s="93">
        <f t="shared" ref="B7" si="5">Onsdag1</f>
        <v>45658</v>
      </c>
      <c r="C7" s="46">
        <v>0.70833333333333337</v>
      </c>
      <c r="D7" s="54">
        <v>0.83333333333333337</v>
      </c>
      <c r="E7" s="55"/>
      <c r="F7" s="56" t="s">
        <v>887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</row>
    <row r="9" spans="1:25" ht="15" customHeight="1" x14ac:dyDescent="0.3">
      <c r="A9" s="91" t="str">
        <f t="shared" ref="A9" si="6">PROPER(TEXT(B9, "dddd"))</f>
        <v>Torsdag</v>
      </c>
      <c r="B9" s="93">
        <f t="shared" ref="B9" si="7">Torsdag1</f>
        <v>45659</v>
      </c>
      <c r="C9" s="46">
        <v>0.41666666666666669</v>
      </c>
      <c r="D9" s="54">
        <v>0.5</v>
      </c>
      <c r="E9" s="55"/>
      <c r="F9" s="56" t="s">
        <v>252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0.5625</v>
      </c>
      <c r="D10" s="54">
        <v>0.64583333333333337</v>
      </c>
      <c r="E10" s="55"/>
      <c r="F10" s="56" t="s">
        <v>230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0.70833333333333337</v>
      </c>
      <c r="D11" s="54">
        <v>0.83333333333333337</v>
      </c>
      <c r="E11" s="55"/>
      <c r="F11" s="56" t="s">
        <v>887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 t="shared" ref="A13" si="8">PROPER(TEXT(B13, "dddd"))</f>
        <v>Fredag</v>
      </c>
      <c r="B13" s="93">
        <f t="shared" ref="B13" si="9">Fredag1</f>
        <v>45660</v>
      </c>
      <c r="C13" s="46">
        <v>0.41666666666666669</v>
      </c>
      <c r="D13" s="54">
        <v>0.5</v>
      </c>
      <c r="E13" s="55"/>
      <c r="F13" s="56" t="s">
        <v>643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0.45833333333333331</v>
      </c>
      <c r="D14" s="54">
        <v>0.54166666666666663</v>
      </c>
      <c r="E14" s="55"/>
      <c r="F14" s="56" t="s">
        <v>815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0.70833333333333337</v>
      </c>
      <c r="D15" s="54">
        <v>0.83333333333333337</v>
      </c>
      <c r="E15" s="55"/>
      <c r="F15" s="56" t="s">
        <v>887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s="10" customFormat="1" ht="20.100000000000001" hidden="1" customHeight="1" x14ac:dyDescent="0.3">
      <c r="A16" s="91" t="s">
        <v>0</v>
      </c>
      <c r="B16" s="93" t="s">
        <v>1</v>
      </c>
      <c r="C16" s="50" t="s">
        <v>838</v>
      </c>
      <c r="D16" s="51" t="s">
        <v>2</v>
      </c>
      <c r="E16" s="52" t="s">
        <v>3</v>
      </c>
      <c r="F16" s="53" t="s">
        <v>4</v>
      </c>
    </row>
    <row r="17" spans="1:24" ht="15" customHeight="1" x14ac:dyDescent="0.3">
      <c r="A17" s="91" t="str">
        <f t="shared" ref="A17" si="10">PROPER(TEXT(B17, "dddd"))</f>
        <v>Lördag</v>
      </c>
      <c r="B17" s="93">
        <f t="shared" ref="B17" si="11">Lördag1</f>
        <v>45661</v>
      </c>
      <c r="C17" s="46">
        <v>0.375</v>
      </c>
      <c r="D17" s="54">
        <v>0.625</v>
      </c>
      <c r="E17" s="55"/>
      <c r="F17" s="56" t="s">
        <v>887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s="10" customFormat="1" ht="20.100000000000001" hidden="1" customHeight="1" x14ac:dyDescent="0.3">
      <c r="A18" s="91" t="s">
        <v>0</v>
      </c>
      <c r="B18" s="93" t="s">
        <v>1</v>
      </c>
      <c r="C18" s="50" t="s">
        <v>838</v>
      </c>
      <c r="D18" s="51" t="s">
        <v>2</v>
      </c>
      <c r="E18" s="52" t="s">
        <v>3</v>
      </c>
      <c r="F18" s="53" t="s">
        <v>4</v>
      </c>
    </row>
    <row r="19" spans="1:24" ht="15" customHeight="1" x14ac:dyDescent="0.3">
      <c r="A19" s="91" t="str">
        <f t="shared" ref="A19" si="12">PROPER(TEXT(B19, "dddd"))</f>
        <v>Söndag</v>
      </c>
      <c r="B19" s="93">
        <f t="shared" ref="B19" si="13">Söndag1</f>
        <v>45662</v>
      </c>
      <c r="C19" s="46">
        <v>0.375</v>
      </c>
      <c r="D19" s="54">
        <v>0.79166666666666663</v>
      </c>
      <c r="E19" s="55"/>
      <c r="F19" s="56" t="s">
        <v>887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1" spans="1:24" ht="15" customHeight="1" x14ac:dyDescent="0.3">
      <c r="C21" s="46"/>
      <c r="D21" s="47"/>
    </row>
    <row r="22" spans="1:24" ht="15" customHeight="1" x14ac:dyDescent="0.3">
      <c r="C22" s="46"/>
      <c r="D22" s="8"/>
    </row>
    <row r="23" spans="1:24" ht="15" customHeight="1" x14ac:dyDescent="0.3">
      <c r="C23" s="46"/>
      <c r="D23" s="8"/>
    </row>
  </sheetData>
  <sheetProtection algorithmName="SHA-512" hashValue="T5E60flW08ltbpOdkvJ/AQb1wubdHFNuhdutjTisbYrRBMfvZmI+6t3JAZ0mstfl60w/uldvTBseyOaHqy/ONw==" saltValue="PEzhNqFsf4obE8iSxcGlqw==" spinCount="100000" sheet="1" objects="1" scenarios="1" autoFilter="0" pivotTables="0"/>
  <sortState xmlns:xlrd2="http://schemas.microsoft.com/office/spreadsheetml/2017/richdata2" ref="A13:F15">
    <sortCondition ref="C13:C15"/>
  </sortState>
  <phoneticPr fontId="1" type="noConversion"/>
  <conditionalFormatting sqref="A3">
    <cfRule type="cellIs" dxfId="4014" priority="5" operator="equal">
      <formula>"Datum"</formula>
    </cfRule>
    <cfRule type="cellIs" dxfId="4013" priority="6" operator="equal">
      <formula>"Dag"</formula>
    </cfRule>
    <cfRule type="expression" dxfId="4012" priority="8">
      <formula>OR(IF($A2="Dag",1))</formula>
    </cfRule>
  </conditionalFormatting>
  <conditionalFormatting sqref="A18">
    <cfRule type="expression" dxfId="4011" priority="28">
      <formula>OR(IF(#REF!="Dag",1))</formula>
    </cfRule>
  </conditionalFormatting>
  <conditionalFormatting sqref="A5 A7 A9:A11 A13:A15 A17 A19">
    <cfRule type="cellIs" dxfId="4010" priority="1" operator="equal">
      <formula>"Datum"</formula>
    </cfRule>
    <cfRule type="cellIs" dxfId="4009" priority="2" operator="equal">
      <formula>"Dag"</formula>
    </cfRule>
    <cfRule type="expression" dxfId="4008" priority="4">
      <formula>OR(IF($A4="Dag",1))</formula>
    </cfRule>
  </conditionalFormatting>
  <conditionalFormatting sqref="A1:B2 B3 A4:B4 B5 A6:B6 B7 A8:B8 B9:B11 A12:B12 B13:B15 A16:B16 B17 A18:B18 B19 A20:B1048576">
    <cfRule type="cellIs" dxfId="4007" priority="18" operator="equal">
      <formula>"Datum"</formula>
    </cfRule>
    <cfRule type="cellIs" dxfId="4006" priority="19" operator="equal">
      <formula>"Dag"</formula>
    </cfRule>
  </conditionalFormatting>
  <conditionalFormatting sqref="B3 B5 B7 B9:B11 B13:B15 B17 B19">
    <cfRule type="expression" dxfId="4005" priority="27">
      <formula>OR(IF($B2="Datum",1))</formula>
    </cfRule>
  </conditionalFormatting>
  <conditionalFormatting sqref="C3:E19">
    <cfRule type="expression" dxfId="4004" priority="22">
      <formula>OR(IF($E3="Hela hallen",1))</formula>
    </cfRule>
  </conditionalFormatting>
  <conditionalFormatting sqref="L1:T1048576">
    <cfRule type="cellIs" dxfId="4003" priority="17" operator="equal">
      <formula>"-"</formula>
    </cfRule>
  </conditionalFormatting>
  <conditionalFormatting sqref="C3:F19">
    <cfRule type="expression" dxfId="4002" priority="1789">
      <formula>OR(IF(#REF!=TRUE,1))</formula>
    </cfRule>
  </conditionalFormatting>
  <conditionalFormatting sqref="A4 A6 A8 A12 A16">
    <cfRule type="expression" dxfId="4001" priority="1790">
      <formula>OR(IF(#REF!="Dag",1))</formula>
    </cfRule>
  </conditionalFormatting>
  <conditionalFormatting sqref="B4 B6 B8 B12 B16 B18">
    <cfRule type="expression" dxfId="4000" priority="1792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0473C54-95F0-4A40-811A-BE44BC53911B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A7:B7 A9:B11 A13:B15 A17:B17 A19:B19</xm:sqref>
        </x14:conditionalFormatting>
        <x14:conditionalFormatting xmlns:xm="http://schemas.microsoft.com/office/excel/2006/main">
          <x14:cfRule type="expression" priority="1801" id="{588B620A-2663-48D1-9799-B164451EA610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A12:B12 A16:B16 A18:B18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958159-3E5C-4800-95F4-4E6F9016780D}">
          <x14:formula1>
            <xm:f>Kontaktuppgifter!$A$2:$A$300</xm:f>
          </x14:formula1>
          <xm:sqref>F3 F5 F7 F9:F11 F13:F15 F17 F19</xm:sqref>
        </x14:dataValidation>
        <x14:dataValidation type="list" allowBlank="1" showInputMessage="1" showErrorMessage="1" xr:uid="{E2F882A6-DDE2-40EA-82D7-DD74A4103B04}">
          <x14:formula1>
            <xm:f>Listor!$A$2:$A$150</xm:f>
          </x14:formula1>
          <xm:sqref>E3 E5 E7 E9:E11 E13:E15 E17 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05D7-488D-47B4-9D29-D899B04507DD}">
  <sheetPr codeName="Blad3"/>
  <dimension ref="A1:Y41"/>
  <sheetViews>
    <sheetView showGridLines="0" zoomScaleNormal="100" workbookViewId="0">
      <pane ySplit="2" topLeftCell="A3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Måndag2</f>
        <v>45663</v>
      </c>
      <c r="W1" s="39">
        <f>Söndag2</f>
        <v>45669</v>
      </c>
      <c r="X1" s="40">
        <f>WEEKNUM(Söndag2, 2)</f>
        <v>2</v>
      </c>
      <c r="Y1" s="41" t="str">
        <f>"V. "&amp;X1&amp;", "&amp;TEXT(V1,"D MMM")&amp;"-"&amp;TEXT(W1,"D MMM")</f>
        <v>V. 2, 6 jan-12 jan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Måndag2</f>
        <v>45663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2">PROPER(TEXT(B5, "dddd"))</f>
        <v>Tisdag</v>
      </c>
      <c r="B5" s="93">
        <f t="shared" ref="B5" si="3">Tisdag2</f>
        <v>45664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 t="s">
        <v>94</v>
      </c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0.5625</v>
      </c>
      <c r="D7" s="54">
        <v>0.64583333333333337</v>
      </c>
      <c r="E7" s="55"/>
      <c r="F7" s="56" t="s">
        <v>601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0.60416666666666663</v>
      </c>
      <c r="D8" s="54">
        <v>0.64583333333333337</v>
      </c>
      <c r="E8" s="55">
        <v>3</v>
      </c>
      <c r="F8" s="56" t="s">
        <v>401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0.70833333333333337</v>
      </c>
      <c r="D9" s="54">
        <v>0.83333333333333337</v>
      </c>
      <c r="E9" s="55"/>
      <c r="F9" s="56" t="s">
        <v>887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0.83333333333333337</v>
      </c>
      <c r="D10" s="54">
        <v>0.875</v>
      </c>
      <c r="E10" s="55" t="s">
        <v>89</v>
      </c>
      <c r="F10" s="56" t="s">
        <v>619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hidden="1" customHeight="1" x14ac:dyDescent="0.3">
      <c r="A11" s="91" t="s">
        <v>0</v>
      </c>
      <c r="B11" s="93" t="s">
        <v>1</v>
      </c>
      <c r="C11" s="50" t="s">
        <v>838</v>
      </c>
      <c r="D11" s="51" t="s">
        <v>2</v>
      </c>
      <c r="E11" s="52" t="s">
        <v>3</v>
      </c>
      <c r="F11" s="53" t="s">
        <v>4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 t="str">
        <f t="shared" ref="A12" si="4">PROPER(TEXT(B12, "dddd"))</f>
        <v>Onsdag</v>
      </c>
      <c r="B12" s="93">
        <f t="shared" ref="B12" si="5">Onsdag2</f>
        <v>45665</v>
      </c>
      <c r="C12" s="46">
        <v>0.375</v>
      </c>
      <c r="D12" s="54">
        <v>0.45833333333333331</v>
      </c>
      <c r="E12" s="55"/>
      <c r="F12" s="56" t="s">
        <v>752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0.41666666666666669</v>
      </c>
      <c r="D13" s="54">
        <v>0.5</v>
      </c>
      <c r="E13" s="55"/>
      <c r="F13" s="56" t="s">
        <v>657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0.55555555555555558</v>
      </c>
      <c r="D14" s="54">
        <v>0.63888888888888884</v>
      </c>
      <c r="E14" s="55"/>
      <c r="F14" s="56" t="s">
        <v>28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0.55555555555555558</v>
      </c>
      <c r="D15" s="54">
        <v>0.63888888888888884</v>
      </c>
      <c r="E15" s="55"/>
      <c r="F15" s="56" t="s">
        <v>791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0.70833333333333337</v>
      </c>
      <c r="D16" s="54">
        <v>0.83333333333333337</v>
      </c>
      <c r="E16" s="55"/>
      <c r="F16" s="56" t="s">
        <v>887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s="10" customFormat="1" ht="15" customHeight="1" x14ac:dyDescent="0.3">
      <c r="A17" s="91"/>
      <c r="B17" s="93"/>
      <c r="C17" s="46">
        <v>0.83333333333333337</v>
      </c>
      <c r="D17" s="54">
        <v>0.91666666666666663</v>
      </c>
      <c r="E17" s="55" t="s">
        <v>98</v>
      </c>
      <c r="F17" s="56" t="s">
        <v>422</v>
      </c>
    </row>
    <row r="18" spans="1:24" ht="15" hidden="1" customHeight="1" x14ac:dyDescent="0.3">
      <c r="A18" s="91" t="s">
        <v>0</v>
      </c>
      <c r="B18" s="93" t="s">
        <v>1</v>
      </c>
      <c r="C18" s="50" t="s">
        <v>838</v>
      </c>
      <c r="D18" s="51" t="s">
        <v>2</v>
      </c>
      <c r="E18" s="52" t="s">
        <v>3</v>
      </c>
      <c r="F18" s="53" t="s">
        <v>4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 t="str">
        <f t="shared" ref="A19" si="6">PROPER(TEXT(B19, "dddd"))</f>
        <v>Torsdag</v>
      </c>
      <c r="B19" s="93">
        <f t="shared" ref="B19" si="7">Torsdag2</f>
        <v>45666</v>
      </c>
      <c r="C19" s="46">
        <v>0.375</v>
      </c>
      <c r="D19" s="54">
        <v>0.4375</v>
      </c>
      <c r="E19" s="55" t="s">
        <v>81</v>
      </c>
      <c r="F19" s="56" t="s">
        <v>521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0.41666666666666669</v>
      </c>
      <c r="D20" s="54">
        <v>0.5</v>
      </c>
      <c r="E20" s="55"/>
      <c r="F20" s="56" t="s">
        <v>252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/>
      <c r="B21" s="93"/>
      <c r="C21" s="46">
        <v>0.5625</v>
      </c>
      <c r="D21" s="54">
        <v>0.64583333333333337</v>
      </c>
      <c r="E21" s="55"/>
      <c r="F21" s="56" t="s">
        <v>230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0.70833333333333337</v>
      </c>
      <c r="D22" s="54">
        <v>0.83333333333333337</v>
      </c>
      <c r="E22" s="55"/>
      <c r="F22" s="56" t="s">
        <v>887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s="10" customFormat="1" ht="15" customHeight="1" x14ac:dyDescent="0.3">
      <c r="A23" s="91"/>
      <c r="B23" s="93"/>
      <c r="C23" s="46">
        <v>0.83333333333333337</v>
      </c>
      <c r="D23" s="54">
        <v>0.90625</v>
      </c>
      <c r="E23" s="55" t="s">
        <v>103</v>
      </c>
      <c r="F23" s="56" t="s">
        <v>746</v>
      </c>
    </row>
    <row r="24" spans="1:24" ht="15" hidden="1" customHeight="1" x14ac:dyDescent="0.3">
      <c r="A24" s="91" t="s">
        <v>0</v>
      </c>
      <c r="B24" s="93" t="s">
        <v>1</v>
      </c>
      <c r="C24" s="50" t="s">
        <v>838</v>
      </c>
      <c r="D24" s="51" t="s">
        <v>2</v>
      </c>
      <c r="E24" s="52" t="s">
        <v>3</v>
      </c>
      <c r="F24" s="53" t="s">
        <v>4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 t="str">
        <f t="shared" ref="A25" si="8">PROPER(TEXT(B25, "dddd"))</f>
        <v>Fredag</v>
      </c>
      <c r="B25" s="93">
        <f t="shared" ref="B25" si="9">Fredag2</f>
        <v>45667</v>
      </c>
      <c r="C25" s="46">
        <v>0.375</v>
      </c>
      <c r="D25" s="54">
        <v>0.4375</v>
      </c>
      <c r="E25" s="55" t="s">
        <v>57</v>
      </c>
      <c r="F25" s="56" t="s">
        <v>521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0.41666666666666669</v>
      </c>
      <c r="D26" s="54">
        <v>0.5</v>
      </c>
      <c r="E26" s="55"/>
      <c r="F26" s="56" t="s">
        <v>643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/>
      <c r="B27" s="93"/>
      <c r="C27" s="46">
        <v>0.45833333333333331</v>
      </c>
      <c r="D27" s="54">
        <v>0.54166666666666663</v>
      </c>
      <c r="E27" s="55"/>
      <c r="F27" s="56" t="s">
        <v>815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0.60416666666666663</v>
      </c>
      <c r="D28" s="54">
        <v>0.625</v>
      </c>
      <c r="E28" s="55">
        <v>10</v>
      </c>
      <c r="F28" s="56" t="s">
        <v>596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s="10" customFormat="1" ht="15" customHeight="1" x14ac:dyDescent="0.3">
      <c r="A29" s="91"/>
      <c r="B29" s="93"/>
      <c r="C29" s="46">
        <v>0.70833333333333337</v>
      </c>
      <c r="D29" s="54">
        <v>0.83333333333333337</v>
      </c>
      <c r="E29" s="55"/>
      <c r="F29" s="56" t="s">
        <v>887</v>
      </c>
    </row>
    <row r="30" spans="1:24" ht="15" hidden="1" customHeight="1" x14ac:dyDescent="0.3">
      <c r="A30" s="91" t="s">
        <v>0</v>
      </c>
      <c r="B30" s="93" t="s">
        <v>1</v>
      </c>
      <c r="C30" s="50" t="s">
        <v>838</v>
      </c>
      <c r="D30" s="51" t="s">
        <v>2</v>
      </c>
      <c r="E30" s="52" t="s">
        <v>3</v>
      </c>
      <c r="F30" s="53" t="s">
        <v>4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91" t="str">
        <f t="shared" ref="A31" si="10">PROPER(TEXT(B31, "dddd"))</f>
        <v>Lördag</v>
      </c>
      <c r="B31" s="93">
        <f t="shared" ref="B31" si="11">Lördag2</f>
        <v>45668</v>
      </c>
      <c r="C31" s="46">
        <v>0.375</v>
      </c>
      <c r="D31" s="54">
        <v>0.625</v>
      </c>
      <c r="E31" s="55"/>
      <c r="F31" s="56" t="s">
        <v>887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91"/>
      <c r="B32" s="93"/>
      <c r="C32" s="46">
        <v>0.625</v>
      </c>
      <c r="D32" s="54">
        <v>0.66666666666666663</v>
      </c>
      <c r="E32" s="55"/>
      <c r="F32" s="56" t="s">
        <v>575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91"/>
      <c r="B33" s="93"/>
      <c r="C33" s="46">
        <v>0.66666666666666663</v>
      </c>
      <c r="D33" s="54">
        <v>0.75</v>
      </c>
      <c r="E33" s="55"/>
      <c r="F33" s="56" t="s">
        <v>159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hidden="1" customHeight="1" x14ac:dyDescent="0.3">
      <c r="A34" s="91" t="s">
        <v>0</v>
      </c>
      <c r="B34" s="93" t="s">
        <v>1</v>
      </c>
      <c r="C34" s="50" t="s">
        <v>838</v>
      </c>
      <c r="D34" s="51" t="s">
        <v>2</v>
      </c>
      <c r="E34" s="52" t="s">
        <v>3</v>
      </c>
      <c r="F34" s="53" t="s">
        <v>4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91" t="str">
        <f t="shared" ref="A35" si="12">PROPER(TEXT(B35, "dddd"))</f>
        <v>Söndag</v>
      </c>
      <c r="B35" s="93">
        <f t="shared" ref="B35" si="13">Söndag2</f>
        <v>45669</v>
      </c>
      <c r="C35" s="46">
        <v>0.39583333333333331</v>
      </c>
      <c r="D35" s="54">
        <v>0.54166666666666663</v>
      </c>
      <c r="E35" s="55"/>
      <c r="F35" s="56" t="s">
        <v>699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91"/>
      <c r="B36" s="93"/>
      <c r="C36" s="46">
        <v>0.54166666666666663</v>
      </c>
      <c r="D36" s="54">
        <v>0.79166666666666663</v>
      </c>
      <c r="E36" s="55"/>
      <c r="F36" s="56" t="s">
        <v>887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91"/>
      <c r="B37" s="93"/>
      <c r="C37" s="46">
        <v>0.79166666666666663</v>
      </c>
      <c r="D37" s="54">
        <v>0.83333333333333337</v>
      </c>
      <c r="E37" s="55" t="s">
        <v>86</v>
      </c>
      <c r="F37" s="56" t="s">
        <v>632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9" spans="1:24" ht="15" customHeight="1" x14ac:dyDescent="0.3">
      <c r="C39" s="46"/>
      <c r="D39" s="47"/>
    </row>
    <row r="40" spans="1:24" ht="15" customHeight="1" x14ac:dyDescent="0.3">
      <c r="C40" s="46"/>
      <c r="D40" s="8"/>
    </row>
    <row r="41" spans="1:24" ht="15" customHeight="1" x14ac:dyDescent="0.3">
      <c r="C41" s="46"/>
      <c r="D41" s="8"/>
    </row>
  </sheetData>
  <sheetProtection algorithmName="SHA-512" hashValue="TW18AQOvk5vAY9QoCsj9oZ+je6Dqb2LJbSY+o/0pC4fNsU5SDaze0GqXEthOc2GCqbSCLKP1M0MG/A5o4X8z3Q==" saltValue="Ma7qaYEhua2uX2Wg2PxUqg==" spinCount="100000" sheet="1" objects="1" scenarios="1" autoFilter="0" pivotTables="0"/>
  <sortState xmlns:xlrd2="http://schemas.microsoft.com/office/spreadsheetml/2017/richdata2" ref="A25:F29">
    <sortCondition ref="C25:C29"/>
  </sortState>
  <conditionalFormatting sqref="A3">
    <cfRule type="cellIs" dxfId="3941" priority="5" operator="equal">
      <formula>"Datum"</formula>
    </cfRule>
    <cfRule type="cellIs" dxfId="3940" priority="6" operator="equal">
      <formula>"Dag"</formula>
    </cfRule>
    <cfRule type="expression" dxfId="3939" priority="8">
      <formula>OR(IF($A2="Dag",1))</formula>
    </cfRule>
  </conditionalFormatting>
  <conditionalFormatting sqref="A11">
    <cfRule type="expression" dxfId="3938" priority="18">
      <formula>OR(IF($A10="Dag",1))</formula>
    </cfRule>
  </conditionalFormatting>
  <conditionalFormatting sqref="A19:A23 A25:A29 A31:A33 A35:A37 A12:A17 A5:A10">
    <cfRule type="cellIs" dxfId="3937" priority="1" operator="equal">
      <formula>"Datum"</formula>
    </cfRule>
    <cfRule type="cellIs" dxfId="3936" priority="2" operator="equal">
      <formula>"Dag"</formula>
    </cfRule>
    <cfRule type="expression" dxfId="3935" priority="4">
      <formula>OR(IF($A4="Dag",1))</formula>
    </cfRule>
  </conditionalFormatting>
  <conditionalFormatting sqref="A1:B2 B3 A4:B4 A11:B11 A18:B18 B19:B23 A24:B24 B25:B29 A30:B30 B31:B33 A34:B34 B35:B37 A38:B1048576 B12:B17 B5:B10">
    <cfRule type="cellIs" dxfId="3934" priority="10" operator="equal">
      <formula>"Datum"</formula>
    </cfRule>
    <cfRule type="cellIs" dxfId="3933" priority="11" operator="equal">
      <formula>"Dag"</formula>
    </cfRule>
  </conditionalFormatting>
  <conditionalFormatting sqref="B19:B20 B16:B17 B3 B5:B14 B22:B23 B25:B27 B29 B31:B32 B35:B37">
    <cfRule type="expression" dxfId="3932" priority="17">
      <formula>OR(IF($B2="Datum",1))</formula>
    </cfRule>
  </conditionalFormatting>
  <conditionalFormatting sqref="B15">
    <cfRule type="expression" dxfId="3931" priority="39">
      <formula>OR(IF($B14="Datum",1))</formula>
    </cfRule>
  </conditionalFormatting>
  <conditionalFormatting sqref="B21">
    <cfRule type="expression" dxfId="3930" priority="47">
      <formula>OR(IF($B20="Datum",1))</formula>
    </cfRule>
  </conditionalFormatting>
  <conditionalFormatting sqref="B28">
    <cfRule type="expression" dxfId="3929" priority="55">
      <formula>OR(IF($B27="Datum",1))</formula>
    </cfRule>
  </conditionalFormatting>
  <conditionalFormatting sqref="B33">
    <cfRule type="expression" dxfId="3928" priority="63">
      <formula>OR(IF($B32="Datum",1))</formula>
    </cfRule>
  </conditionalFormatting>
  <conditionalFormatting sqref="C3:E37">
    <cfRule type="expression" dxfId="3927" priority="14">
      <formula>OR(IF($E3="Hela hallen",1))</formula>
    </cfRule>
  </conditionalFormatting>
  <conditionalFormatting sqref="L1:T1048576">
    <cfRule type="cellIs" dxfId="3926" priority="9" operator="equal">
      <formula>"-"</formula>
    </cfRule>
  </conditionalFormatting>
  <conditionalFormatting sqref="A18">
    <cfRule type="expression" dxfId="3925" priority="563">
      <formula>OR(IF($A17="Dag",1))</formula>
    </cfRule>
  </conditionalFormatting>
  <conditionalFormatting sqref="B18">
    <cfRule type="expression" dxfId="3924" priority="570">
      <formula>OR(IF($B17="Datum",1))</formula>
    </cfRule>
  </conditionalFormatting>
  <conditionalFormatting sqref="C3:F37">
    <cfRule type="expression" dxfId="3923" priority="1803">
      <formula>OR(IF(#REF!=TRUE,1))</formula>
    </cfRule>
  </conditionalFormatting>
  <conditionalFormatting sqref="A4 A24 A30 A34">
    <cfRule type="expression" dxfId="3922" priority="1804">
      <formula>OR(IF(#REF!="Dag",1))</formula>
    </cfRule>
  </conditionalFormatting>
  <conditionalFormatting sqref="B4 B24 B30 B34">
    <cfRule type="expression" dxfId="3921" priority="1806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E954C66-5BEE-4946-8714-CDFE069D9EFD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A5:B23 A25:B29 A31:B33 A35:B37</xm:sqref>
        </x14:conditionalFormatting>
        <x14:conditionalFormatting xmlns:xm="http://schemas.microsoft.com/office/excel/2006/main">
          <x14:cfRule type="expression" priority="1815" id="{58D9D86D-42CA-4460-9F6D-01BEECD4B294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A24:B24 A30:B30 A34:B34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B61A05-EE66-40C6-A5B2-A7123B2E437B}">
          <x14:formula1>
            <xm:f>Listor!$A$2:$A$150</xm:f>
          </x14:formula1>
          <xm:sqref>E3 E19:E23 E25:E29 E31:E33 E35:E37 E12:E17 E5:E10</xm:sqref>
        </x14:dataValidation>
        <x14:dataValidation type="list" allowBlank="1" showInputMessage="1" showErrorMessage="1" xr:uid="{B4ED3DA0-4482-4A48-9ACC-4A5BC9464C42}">
          <x14:formula1>
            <xm:f>Kontaktuppgifter!$A$2:$A$300</xm:f>
          </x14:formula1>
          <xm:sqref>F3 F19:F23 F25:F29 F31:F33 F35:F37 F12:F17 F5:F10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4E9B-3384-4DA4-AEE1-B29895B9073E}">
  <sheetPr codeName="Blad4">
    <pageSetUpPr fitToPage="1"/>
  </sheetPr>
  <dimension ref="A1:Y43"/>
  <sheetViews>
    <sheetView showGridLines="0" zoomScaleNormal="100" workbookViewId="0">
      <pane ySplit="2" topLeftCell="A26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10.88671875" style="37" bestFit="1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Måndag3</f>
        <v>45670</v>
      </c>
      <c r="W1" s="39">
        <f>Söndag3</f>
        <v>45676</v>
      </c>
      <c r="X1" s="40">
        <f>WEEKNUM(Söndag3, 2)</f>
        <v>3</v>
      </c>
      <c r="Y1" s="41" t="str">
        <f>"V. "&amp;X1&amp;", "&amp;TEXT(V1,"D MMM")&amp;"-"&amp;TEXT(W1,"D MMM")</f>
        <v>V. 3, 13 jan-19 jan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Måndag3</f>
        <v>45670</v>
      </c>
      <c r="C3" s="46">
        <v>0.35416666666666669</v>
      </c>
      <c r="D3" s="47">
        <v>0.4513888888888889</v>
      </c>
      <c r="E3" s="48" t="s">
        <v>66</v>
      </c>
      <c r="F3" s="49" t="s">
        <v>447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0.54166666666666663</v>
      </c>
      <c r="D4" s="47">
        <v>0.66666666666666663</v>
      </c>
      <c r="E4" s="48" t="s">
        <v>89</v>
      </c>
      <c r="F4" s="49" t="s">
        <v>581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91"/>
      <c r="B5" s="92"/>
      <c r="C5" s="46">
        <v>0.70833333333333337</v>
      </c>
      <c r="D5" s="47">
        <v>0.83333333333333337</v>
      </c>
      <c r="E5" s="48"/>
      <c r="F5" s="49" t="s">
        <v>887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2"/>
      <c r="C6" s="46">
        <v>0.83333333333333337</v>
      </c>
      <c r="D6" s="47">
        <v>0.875</v>
      </c>
      <c r="E6" s="48" t="s">
        <v>84</v>
      </c>
      <c r="F6" s="49" t="s">
        <v>375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91" t="s">
        <v>0</v>
      </c>
      <c r="B7" s="93" t="s">
        <v>1</v>
      </c>
      <c r="C7" s="50" t="s">
        <v>838</v>
      </c>
      <c r="D7" s="51" t="s">
        <v>2</v>
      </c>
      <c r="E7" s="52" t="s">
        <v>3</v>
      </c>
      <c r="F7" s="53" t="s">
        <v>4</v>
      </c>
    </row>
    <row r="8" spans="1:25" ht="15" customHeight="1" x14ac:dyDescent="0.3">
      <c r="A8" s="91" t="str">
        <f t="shared" ref="A8" si="2">PROPER(TEXT(B8, "dddd"))</f>
        <v>Tisdag</v>
      </c>
      <c r="B8" s="93">
        <f t="shared" ref="B8" si="3">Tisdag3</f>
        <v>45671</v>
      </c>
      <c r="C8" s="46">
        <v>0.35416666666666669</v>
      </c>
      <c r="D8" s="54">
        <v>0.4513888888888889</v>
      </c>
      <c r="E8" s="55" t="s">
        <v>66</v>
      </c>
      <c r="F8" s="56" t="s">
        <v>447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0.52083333333333337</v>
      </c>
      <c r="D9" s="54">
        <v>0.5625</v>
      </c>
      <c r="E9" s="55" t="s">
        <v>97</v>
      </c>
      <c r="F9" s="56" t="s">
        <v>543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0.5625</v>
      </c>
      <c r="D10" s="54">
        <v>0.64583333333333337</v>
      </c>
      <c r="E10" s="55"/>
      <c r="F10" s="56" t="s">
        <v>601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0.70833333333333337</v>
      </c>
      <c r="D11" s="54">
        <v>0.83333333333333337</v>
      </c>
      <c r="E11" s="55"/>
      <c r="F11" s="56" t="s">
        <v>887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0.83333333333333337</v>
      </c>
      <c r="D12" s="54">
        <v>0.875</v>
      </c>
      <c r="E12" s="55" t="s">
        <v>89</v>
      </c>
      <c r="F12" s="56" t="s">
        <v>619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s="10" customFormat="1" ht="20.100000000000001" hidden="1" customHeight="1" x14ac:dyDescent="0.3">
      <c r="A13" s="91" t="s">
        <v>0</v>
      </c>
      <c r="B13" s="93" t="s">
        <v>1</v>
      </c>
      <c r="C13" s="50" t="s">
        <v>838</v>
      </c>
      <c r="D13" s="51" t="s">
        <v>2</v>
      </c>
      <c r="E13" s="52" t="s">
        <v>3</v>
      </c>
      <c r="F13" s="53" t="s">
        <v>4</v>
      </c>
    </row>
    <row r="14" spans="1:25" ht="15" customHeight="1" x14ac:dyDescent="0.3">
      <c r="A14" s="91" t="str">
        <f t="shared" ref="A14" si="4">PROPER(TEXT(B14, "dddd"))</f>
        <v>Onsdag</v>
      </c>
      <c r="B14" s="93">
        <f t="shared" ref="B14" si="5">Onsdag3</f>
        <v>45672</v>
      </c>
      <c r="C14" s="46">
        <v>0.375</v>
      </c>
      <c r="D14" s="54">
        <v>0.45833333333333331</v>
      </c>
      <c r="E14" s="55"/>
      <c r="F14" s="56" t="s">
        <v>752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0.375</v>
      </c>
      <c r="D15" s="54">
        <v>0.41666666666666669</v>
      </c>
      <c r="E15" s="55"/>
      <c r="F15" s="56" t="s">
        <v>562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0.41666666666666669</v>
      </c>
      <c r="D16" s="54">
        <v>0.5</v>
      </c>
      <c r="E16" s="55"/>
      <c r="F16" s="56" t="s">
        <v>657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0.55555555555555558</v>
      </c>
      <c r="D17" s="54">
        <v>0.63888888888888884</v>
      </c>
      <c r="E17" s="55"/>
      <c r="F17" s="56" t="s">
        <v>28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0.55555555555555558</v>
      </c>
      <c r="D18" s="54">
        <v>0.63888888888888884</v>
      </c>
      <c r="E18" s="55"/>
      <c r="F18" s="56" t="s">
        <v>791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0.66666666666666663</v>
      </c>
      <c r="D19" s="54">
        <v>0.70833333333333337</v>
      </c>
      <c r="E19" s="55">
        <v>2</v>
      </c>
      <c r="F19" s="56" t="s">
        <v>570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0.70833333333333337</v>
      </c>
      <c r="D20" s="54">
        <v>0.83333333333333337</v>
      </c>
      <c r="E20" s="55"/>
      <c r="F20" s="56" t="s">
        <v>887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/>
      <c r="B21" s="93"/>
      <c r="C21" s="46">
        <v>0.83333333333333337</v>
      </c>
      <c r="D21" s="54">
        <v>0.875</v>
      </c>
      <c r="E21" s="55" t="s">
        <v>98</v>
      </c>
      <c r="F21" s="56" t="s">
        <v>422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s="10" customFormat="1" ht="20.100000000000001" hidden="1" customHeight="1" x14ac:dyDescent="0.3">
      <c r="A22" s="91" t="s">
        <v>0</v>
      </c>
      <c r="B22" s="93" t="s">
        <v>1</v>
      </c>
      <c r="C22" s="50" t="s">
        <v>838</v>
      </c>
      <c r="D22" s="51" t="s">
        <v>2</v>
      </c>
      <c r="E22" s="52" t="s">
        <v>3</v>
      </c>
      <c r="F22" s="53" t="s">
        <v>4</v>
      </c>
    </row>
    <row r="23" spans="1:24" ht="15" customHeight="1" x14ac:dyDescent="0.3">
      <c r="A23" s="91" t="str">
        <f t="shared" ref="A23" si="6">PROPER(TEXT(B23, "dddd"))</f>
        <v>Torsdag</v>
      </c>
      <c r="B23" s="93">
        <f t="shared" ref="B23" si="7">Torsdag3</f>
        <v>45673</v>
      </c>
      <c r="C23" s="46">
        <v>0.375</v>
      </c>
      <c r="D23" s="54">
        <v>0.4375</v>
      </c>
      <c r="E23" s="55" t="s">
        <v>81</v>
      </c>
      <c r="F23" s="56" t="s">
        <v>521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0.41666666666666669</v>
      </c>
      <c r="D24" s="54">
        <v>0.5</v>
      </c>
      <c r="E24" s="55"/>
      <c r="F24" s="56" t="s">
        <v>252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/>
      <c r="B25" s="93"/>
      <c r="C25" s="46">
        <v>0.54166666666666663</v>
      </c>
      <c r="D25" s="54">
        <v>0.66666666666666663</v>
      </c>
      <c r="E25" s="55" t="s">
        <v>128</v>
      </c>
      <c r="F25" s="56" t="s">
        <v>303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0.5625</v>
      </c>
      <c r="D26" s="54">
        <v>0.64583333333333337</v>
      </c>
      <c r="E26" s="55"/>
      <c r="F26" s="56" t="s">
        <v>230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/>
      <c r="B27" s="93"/>
      <c r="C27" s="46">
        <v>0.70833333333333337</v>
      </c>
      <c r="D27" s="54">
        <v>0.83333333333333337</v>
      </c>
      <c r="E27" s="55"/>
      <c r="F27" s="56" t="s">
        <v>887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0.83333333333333337</v>
      </c>
      <c r="D28" s="54">
        <v>0.90625</v>
      </c>
      <c r="E28" s="55" t="s">
        <v>103</v>
      </c>
      <c r="F28" s="56" t="s">
        <v>746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hidden="1" customHeight="1" x14ac:dyDescent="0.3">
      <c r="A29" s="91" t="s">
        <v>0</v>
      </c>
      <c r="B29" s="93" t="s">
        <v>1</v>
      </c>
      <c r="C29" s="50" t="s">
        <v>838</v>
      </c>
      <c r="D29" s="51" t="s">
        <v>2</v>
      </c>
      <c r="E29" s="52" t="s">
        <v>3</v>
      </c>
      <c r="F29" s="53" t="s">
        <v>4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91" t="str">
        <f t="shared" ref="A30" si="8">PROPER(TEXT(B30, "dddd"))</f>
        <v>Fredag</v>
      </c>
      <c r="B30" s="93">
        <f t="shared" ref="B30" si="9">Fredag3</f>
        <v>45674</v>
      </c>
      <c r="C30" s="46">
        <v>0.375</v>
      </c>
      <c r="D30" s="54">
        <v>0.4375</v>
      </c>
      <c r="E30" s="55" t="s">
        <v>57</v>
      </c>
      <c r="F30" s="56" t="s">
        <v>521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91"/>
      <c r="B31" s="93"/>
      <c r="C31" s="46">
        <v>0.41666666666666669</v>
      </c>
      <c r="D31" s="54">
        <v>0.5</v>
      </c>
      <c r="E31" s="55"/>
      <c r="F31" s="56" t="s">
        <v>643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91"/>
      <c r="B32" s="93"/>
      <c r="C32" s="46">
        <v>0.45833333333333331</v>
      </c>
      <c r="D32" s="54">
        <v>0.54166666666666663</v>
      </c>
      <c r="E32" s="55"/>
      <c r="F32" s="56" t="s">
        <v>815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91"/>
      <c r="B33" s="93"/>
      <c r="C33" s="46">
        <v>0.54166666666666663</v>
      </c>
      <c r="D33" s="54">
        <v>0.58333333333333337</v>
      </c>
      <c r="E33" s="55" t="s">
        <v>98</v>
      </c>
      <c r="F33" s="56" t="s">
        <v>505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91"/>
      <c r="B34" s="93"/>
      <c r="C34" s="46">
        <v>0.61458333333333337</v>
      </c>
      <c r="D34" s="54">
        <v>0.65625</v>
      </c>
      <c r="E34" s="55"/>
      <c r="F34" s="56" t="s">
        <v>596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s="10" customFormat="1" ht="15" customHeight="1" x14ac:dyDescent="0.3">
      <c r="A35" s="91"/>
      <c r="B35" s="93"/>
      <c r="C35" s="46">
        <v>0.70833333333333337</v>
      </c>
      <c r="D35" s="54">
        <v>0.83333333333333337</v>
      </c>
      <c r="E35" s="55"/>
      <c r="F35" s="56" t="s">
        <v>887</v>
      </c>
    </row>
    <row r="36" spans="1:24" ht="15" hidden="1" customHeight="1" x14ac:dyDescent="0.3">
      <c r="A36" s="91" t="s">
        <v>0</v>
      </c>
      <c r="B36" s="93" t="s">
        <v>1</v>
      </c>
      <c r="C36" s="50" t="s">
        <v>838</v>
      </c>
      <c r="D36" s="51" t="s">
        <v>2</v>
      </c>
      <c r="E36" s="52" t="s">
        <v>3</v>
      </c>
      <c r="F36" s="53" t="s">
        <v>4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91" t="str">
        <f t="shared" ref="A37" si="10">PROPER(TEXT(B37, "dddd"))</f>
        <v>Lördag</v>
      </c>
      <c r="B37" s="93">
        <f t="shared" ref="B37" si="11">Lördag3</f>
        <v>45675</v>
      </c>
      <c r="C37" s="46" t="s">
        <v>828</v>
      </c>
      <c r="D37" s="54"/>
      <c r="E37" s="55"/>
      <c r="F37" s="56" t="s">
        <v>407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hidden="1" customHeight="1" x14ac:dyDescent="0.3">
      <c r="A38" s="91" t="s">
        <v>0</v>
      </c>
      <c r="B38" s="93" t="s">
        <v>1</v>
      </c>
      <c r="C38" s="50" t="s">
        <v>838</v>
      </c>
      <c r="D38" s="51" t="s">
        <v>2</v>
      </c>
      <c r="E38" s="52" t="s">
        <v>3</v>
      </c>
      <c r="F38" s="53" t="s">
        <v>4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customHeight="1" x14ac:dyDescent="0.3">
      <c r="A39" s="91" t="str">
        <f t="shared" ref="A39" si="12">PROPER(TEXT(B39, "dddd"))</f>
        <v>Söndag</v>
      </c>
      <c r="B39" s="93">
        <f t="shared" ref="B39" si="13">Söndag3</f>
        <v>45676</v>
      </c>
      <c r="C39" s="46" t="s">
        <v>828</v>
      </c>
      <c r="D39" s="54"/>
      <c r="E39" s="55"/>
      <c r="F39" s="56" t="s">
        <v>407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1" spans="1:24" ht="15" customHeight="1" x14ac:dyDescent="0.3">
      <c r="C41" s="46"/>
      <c r="D41" s="47"/>
    </row>
    <row r="42" spans="1:24" ht="15" customHeight="1" x14ac:dyDescent="0.3">
      <c r="C42" s="46"/>
      <c r="D42" s="8"/>
    </row>
    <row r="43" spans="1:24" ht="15" customHeight="1" x14ac:dyDescent="0.3">
      <c r="C43" s="46"/>
      <c r="D43" s="8"/>
    </row>
  </sheetData>
  <sheetProtection algorithmName="SHA-512" hashValue="GSsahvzO+GetPuSveC3Xuie7iXvFKLqeuerBstjDz2dyXUsdNItgi7jY4TY+IZFBFsG2t/U1gmb5cF62Dxr0oA==" saltValue="zuuqr7UdR+0I6Pe18PMJJQ==" spinCount="100000" sheet="1" objects="1" scenarios="1" autoFilter="0" pivotTables="0"/>
  <sortState xmlns:xlrd2="http://schemas.microsoft.com/office/spreadsheetml/2017/richdata2" ref="A30:F35">
    <sortCondition ref="C30:C35"/>
  </sortState>
  <conditionalFormatting sqref="A3:A6 A14:A18 A20:A21 A37 A39 A12 A10 A23:A35">
    <cfRule type="expression" dxfId="3862" priority="4">
      <formula>OR(IF($A2="Dag",1))</formula>
    </cfRule>
  </conditionalFormatting>
  <conditionalFormatting sqref="A3:A6 A14:A21 A37 A39 A23:A28 A30:A35 A8:B12">
    <cfRule type="cellIs" dxfId="3861" priority="1" operator="equal">
      <formula>"Datum"</formula>
    </cfRule>
    <cfRule type="cellIs" dxfId="3860" priority="2" operator="equal">
      <formula>"Dag"</formula>
    </cfRule>
  </conditionalFormatting>
  <conditionalFormatting sqref="A38">
    <cfRule type="expression" dxfId="3859" priority="14">
      <formula>OR(IF(#REF!="Dag",1))</formula>
    </cfRule>
  </conditionalFormatting>
  <conditionalFormatting sqref="A19">
    <cfRule type="expression" dxfId="3858" priority="71">
      <formula>OR(IF($A15="Dag",1))</formula>
    </cfRule>
  </conditionalFormatting>
  <conditionalFormatting sqref="A1:B2 B3:B6 A7:B7 A13:B13 B14:B21 A22:B22 A29:B29 A36:B36 B37 A38:B38 B39 A40:B1048576 B23:B28 B30:B35">
    <cfRule type="cellIs" dxfId="3857" priority="6" operator="equal">
      <formula>"Datum"</formula>
    </cfRule>
    <cfRule type="cellIs" dxfId="3856" priority="7" operator="equal">
      <formula>"Dag"</formula>
    </cfRule>
  </conditionalFormatting>
  <conditionalFormatting sqref="B3:B6 B10 B12 B14:B18 B20:B21 B23:B35 B37 B39">
    <cfRule type="expression" dxfId="3855" priority="13">
      <formula>OR(IF($B2="Datum",1))</formula>
    </cfRule>
  </conditionalFormatting>
  <conditionalFormatting sqref="B19">
    <cfRule type="expression" dxfId="3854" priority="80">
      <formula>OR(IF($B15="Datum",1))</formula>
    </cfRule>
  </conditionalFormatting>
  <conditionalFormatting sqref="C3:E39">
    <cfRule type="expression" dxfId="3853" priority="10">
      <formula>OR(IF($E3="Hela hallen",1))</formula>
    </cfRule>
  </conditionalFormatting>
  <conditionalFormatting sqref="L1:T1048576">
    <cfRule type="cellIs" dxfId="3852" priority="5" operator="equal">
      <formula>"-"</formula>
    </cfRule>
  </conditionalFormatting>
  <conditionalFormatting sqref="A36">
    <cfRule type="expression" dxfId="3851" priority="800">
      <formula>OR(IF($A35="Dag",1))</formula>
    </cfRule>
  </conditionalFormatting>
  <conditionalFormatting sqref="B36">
    <cfRule type="expression" dxfId="3850" priority="804">
      <formula>OR(IF($B35="Datum",1))</formula>
    </cfRule>
  </conditionalFormatting>
  <conditionalFormatting sqref="C3:F39">
    <cfRule type="expression" dxfId="3849" priority="1817">
      <formula>OR(IF(#REF!=TRUE,1))</formula>
    </cfRule>
  </conditionalFormatting>
  <conditionalFormatting sqref="A11 A7:A9 A13 A22">
    <cfRule type="expression" dxfId="3848" priority="1818">
      <formula>OR(IF(#REF!="Dag",1))</formula>
    </cfRule>
  </conditionalFormatting>
  <conditionalFormatting sqref="B11 B7:B9 B13 B22 B38">
    <cfRule type="expression" dxfId="3847" priority="1820">
      <formula>OR(IF(#REF!="Datum",1))</formula>
    </cfRule>
  </conditionalFormatting>
  <printOptions horizontalCentered="1" verticalCentered="1"/>
  <pageMargins left="0.25" right="0.25" top="0.75" bottom="0.75" header="0.3" footer="0.3"/>
  <pageSetup paperSize="8" scale="26" orientation="portrait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3775023-B6D9-49DE-8A8E-2D20C758F39E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A14:A18 A3:B6 A10:B10 A12:B12 A20:B21 A23:B37 A39:B39</xm:sqref>
        </x14:conditionalFormatting>
        <x14:conditionalFormatting xmlns:xm="http://schemas.microsoft.com/office/excel/2006/main">
          <x14:cfRule type="expression" priority="70" id="{83775023-B6D9-49DE-8A8E-2D20C758F39E}">
            <xm:f>AND(IF(ISERROR(MATCH($B19,Kalenderår!$A$3:$A$17,0)),FALSE,TRUE), IF($B15="Datum",TRUE,FALSE), IF($A15="Dag",TRUE,FALSE))</xm:f>
            <x14:dxf>
              <font>
                <color rgb="FFC00000"/>
              </font>
            </x14:dxf>
          </x14:cfRule>
          <xm:sqref>A19</xm:sqref>
        </x14:conditionalFormatting>
        <x14:conditionalFormatting xmlns:xm="http://schemas.microsoft.com/office/excel/2006/main">
          <x14:cfRule type="expression" priority="9" id="{48A7FAAE-9F6D-45B4-AB94-D2555852E5BB}">
            <xm:f>AND(IF(ISERROR(MATCH($B14,Kalenderår!$A$3:$A$17,0)),FALSE,TRUE), IF($B13="Datum",TRUE,FALSE), IF($A13="Dag",TRUE,FALSE))</xm:f>
            <x14:dxf>
              <font>
                <color rgb="FFC00000"/>
              </font>
            </x14:dxf>
          </x14:cfRule>
          <xm:sqref>B14:B18</xm:sqref>
        </x14:conditionalFormatting>
        <x14:conditionalFormatting xmlns:xm="http://schemas.microsoft.com/office/excel/2006/main">
          <x14:cfRule type="expression" priority="77" id="{48A7FAAE-9F6D-45B4-AB94-D2555852E5BB}">
            <xm:f>AND(IF(ISERROR(MATCH($B19,Kalenderår!$A$3:$A$17,0)),FALSE,TRUE), IF($B15="Datum",TRUE,FALSE), IF($A15="Dag",TRUE,FALSE))</xm:f>
            <x14:dxf>
              <font>
                <color rgb="FFC00000"/>
              </font>
            </x14:dxf>
          </x14:cfRule>
          <xm:sqref>B19</xm:sqref>
        </x14:conditionalFormatting>
        <x14:conditionalFormatting xmlns:xm="http://schemas.microsoft.com/office/excel/2006/main">
          <x14:cfRule type="expression" priority="1829" id="{48A7FAAE-9F6D-45B4-AB94-D2555852E5BB}">
            <xm:f>AND(IF(ISERROR(MATCH($B7,Kalenderår!$A$3:$A$17,0)),FALSE,TRUE),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A11:B11 A7:B9 A13:B13 A22:B22 A38:B38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7929F56-63D8-4AB7-B4C2-30791E71816F}">
          <x14:formula1>
            <xm:f>Listor!$A$2:$A$150</xm:f>
          </x14:formula1>
          <xm:sqref>E3:E6 E14:E21 E37 E39 E23:E28 E30:E35 E8:E12</xm:sqref>
        </x14:dataValidation>
        <x14:dataValidation type="list" allowBlank="1" showInputMessage="1" showErrorMessage="1" xr:uid="{A55EEDAC-E21E-4B10-99A9-711715111D01}">
          <x14:formula1>
            <xm:f>Kontaktuppgifter!$A$2:$A$300</xm:f>
          </x14:formula1>
          <xm:sqref>F3:F6 F14:F21 F37 F39 F23:F28 F30:F35 F8:F12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253D1-1A72-4D1D-8E1E-028B6B68D431}">
  <sheetPr codeName="Blad5">
    <pageSetUpPr fitToPage="1"/>
  </sheetPr>
  <dimension ref="A1:Y46"/>
  <sheetViews>
    <sheetView showGridLines="0" zoomScaleNormal="100" workbookViewId="0">
      <pane ySplit="2" topLeftCell="A36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Måndag4</f>
        <v>45677</v>
      </c>
      <c r="W1" s="39">
        <f>Söndag4</f>
        <v>45683</v>
      </c>
      <c r="X1" s="40">
        <f>WEEKNUM(Söndag4, 2)</f>
        <v>4</v>
      </c>
      <c r="Y1" s="41" t="str">
        <f>"V. "&amp;X1&amp;", "&amp;TEXT(V1,"D MMM")&amp;"-"&amp;TEXT(W1,"D MMM")</f>
        <v>V. 4, 20 jan-26 jan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Måndag4</f>
        <v>45677</v>
      </c>
      <c r="C3" s="46">
        <v>0.625</v>
      </c>
      <c r="D3" s="47">
        <v>0.66666666666666663</v>
      </c>
      <c r="E3" s="48"/>
      <c r="F3" s="49" t="s">
        <v>596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0.70833333333333337</v>
      </c>
      <c r="D4" s="47">
        <v>0.83333333333333337</v>
      </c>
      <c r="E4" s="48"/>
      <c r="F4" s="49" t="s">
        <v>887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91"/>
      <c r="B5" s="92"/>
      <c r="C5" s="46">
        <v>0.83333333333333337</v>
      </c>
      <c r="D5" s="47">
        <v>0.875</v>
      </c>
      <c r="E5" s="48" t="s">
        <v>89</v>
      </c>
      <c r="F5" s="49" t="s">
        <v>294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2"/>
      <c r="C6" s="46">
        <v>0.83333333333333337</v>
      </c>
      <c r="D6" s="47">
        <v>0.875</v>
      </c>
      <c r="E6" s="48" t="s">
        <v>83</v>
      </c>
      <c r="F6" s="49" t="s">
        <v>375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91" t="s">
        <v>0</v>
      </c>
      <c r="B7" s="93" t="s">
        <v>1</v>
      </c>
      <c r="C7" s="50" t="s">
        <v>838</v>
      </c>
      <c r="D7" s="51" t="s">
        <v>2</v>
      </c>
      <c r="E7" s="52" t="s">
        <v>3</v>
      </c>
      <c r="F7" s="53" t="s">
        <v>4</v>
      </c>
    </row>
    <row r="8" spans="1:25" ht="15" customHeight="1" x14ac:dyDescent="0.3">
      <c r="A8" s="91" t="str">
        <f t="shared" ref="A8" si="2">PROPER(TEXT(B8, "dddd"))</f>
        <v>Tisdag</v>
      </c>
      <c r="B8" s="93">
        <f t="shared" ref="B8" si="3">Tisdag4</f>
        <v>45678</v>
      </c>
      <c r="C8" s="46">
        <v>0.35416666666666669</v>
      </c>
      <c r="D8" s="54">
        <v>0.39583333333333331</v>
      </c>
      <c r="E8" s="55" t="s">
        <v>128</v>
      </c>
      <c r="F8" s="56" t="s">
        <v>467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0.52083333333333337</v>
      </c>
      <c r="D9" s="54">
        <v>0.5625</v>
      </c>
      <c r="E9" s="55" t="s">
        <v>97</v>
      </c>
      <c r="F9" s="56" t="s">
        <v>543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0.5625</v>
      </c>
      <c r="D10" s="54">
        <v>0.64583333333333337</v>
      </c>
      <c r="E10" s="55"/>
      <c r="F10" s="56" t="s">
        <v>601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0.60416666666666663</v>
      </c>
      <c r="D11" s="54">
        <v>0.70833333333333337</v>
      </c>
      <c r="E11" s="55" t="s">
        <v>83</v>
      </c>
      <c r="F11" s="56" t="s">
        <v>241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0.70833333333333337</v>
      </c>
      <c r="D12" s="54">
        <v>0.83333333333333337</v>
      </c>
      <c r="E12" s="55"/>
      <c r="F12" s="56" t="s">
        <v>887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0.83333333333333337</v>
      </c>
      <c r="D13" s="54">
        <v>0.875</v>
      </c>
      <c r="E13" s="55" t="s">
        <v>89</v>
      </c>
      <c r="F13" s="56" t="s">
        <v>619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</row>
    <row r="15" spans="1:25" ht="15" customHeight="1" x14ac:dyDescent="0.3">
      <c r="A15" s="91" t="str">
        <f t="shared" ref="A15" si="4">PROPER(TEXT(B15, "dddd"))</f>
        <v>Onsdag</v>
      </c>
      <c r="B15" s="93">
        <f t="shared" ref="B15" si="5">Onsdag4</f>
        <v>45679</v>
      </c>
      <c r="C15" s="46">
        <v>0.35416666666666669</v>
      </c>
      <c r="D15" s="54">
        <v>0.39583333333333331</v>
      </c>
      <c r="E15" s="55" t="s">
        <v>128</v>
      </c>
      <c r="F15" s="56" t="s">
        <v>467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0.375</v>
      </c>
      <c r="D16" s="54">
        <v>0.45833333333333331</v>
      </c>
      <c r="E16" s="55"/>
      <c r="F16" s="56" t="s">
        <v>752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0.41666666666666669</v>
      </c>
      <c r="D17" s="54">
        <v>0.5</v>
      </c>
      <c r="E17" s="55"/>
      <c r="F17" s="56" t="s">
        <v>657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0.55555555555555558</v>
      </c>
      <c r="D18" s="54">
        <v>0.63888888888888884</v>
      </c>
      <c r="E18" s="55"/>
      <c r="F18" s="56" t="s">
        <v>28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0.55555555555555558</v>
      </c>
      <c r="D19" s="54">
        <v>0.63888888888888884</v>
      </c>
      <c r="E19" s="55"/>
      <c r="F19" s="56" t="s">
        <v>791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0.70833333333333337</v>
      </c>
      <c r="D20" s="54">
        <v>0.83333333333333337</v>
      </c>
      <c r="E20" s="55"/>
      <c r="F20" s="56" t="s">
        <v>887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/>
      <c r="B21" s="93"/>
      <c r="C21" s="46">
        <v>0.83333333333333337</v>
      </c>
      <c r="D21" s="54">
        <v>0.875</v>
      </c>
      <c r="E21" s="55" t="s">
        <v>98</v>
      </c>
      <c r="F21" s="56" t="s">
        <v>422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0.83333333333333337</v>
      </c>
      <c r="D22" s="54">
        <v>0.875</v>
      </c>
      <c r="E22" s="55" t="s">
        <v>97</v>
      </c>
      <c r="F22" s="56" t="s">
        <v>342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s="10" customFormat="1" ht="20.100000000000001" hidden="1" customHeight="1" x14ac:dyDescent="0.3">
      <c r="A23" s="91" t="s">
        <v>0</v>
      </c>
      <c r="B23" s="93" t="s">
        <v>1</v>
      </c>
      <c r="C23" s="50" t="s">
        <v>838</v>
      </c>
      <c r="D23" s="51" t="s">
        <v>2</v>
      </c>
      <c r="E23" s="52" t="s">
        <v>3</v>
      </c>
      <c r="F23" s="53" t="s">
        <v>4</v>
      </c>
    </row>
    <row r="24" spans="1:24" ht="15" customHeight="1" x14ac:dyDescent="0.3">
      <c r="A24" s="91" t="str">
        <f t="shared" ref="A24" si="6">PROPER(TEXT(B24, "dddd"))</f>
        <v>Torsdag</v>
      </c>
      <c r="B24" s="93">
        <f t="shared" ref="B24" si="7">Torsdag4</f>
        <v>45680</v>
      </c>
      <c r="C24" s="46">
        <v>0.35416666666666669</v>
      </c>
      <c r="D24" s="54">
        <v>0.39583333333333331</v>
      </c>
      <c r="E24" s="55" t="s">
        <v>128</v>
      </c>
      <c r="F24" s="56" t="s">
        <v>467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/>
      <c r="B25" s="93"/>
      <c r="C25" s="46">
        <v>0.375</v>
      </c>
      <c r="D25" s="54">
        <v>0.4375</v>
      </c>
      <c r="E25" s="55" t="s">
        <v>81</v>
      </c>
      <c r="F25" s="56" t="s">
        <v>521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0.41666666666666669</v>
      </c>
      <c r="D26" s="54">
        <v>0.5</v>
      </c>
      <c r="E26" s="55"/>
      <c r="F26" s="56" t="s">
        <v>252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/>
      <c r="B27" s="93"/>
      <c r="C27" s="46">
        <v>0.54166666666666663</v>
      </c>
      <c r="D27" s="54">
        <v>0.58333333333333337</v>
      </c>
      <c r="E27" s="55" t="s">
        <v>97</v>
      </c>
      <c r="F27" s="56" t="s">
        <v>543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0.5625</v>
      </c>
      <c r="D28" s="54">
        <v>0.64583333333333337</v>
      </c>
      <c r="E28" s="55"/>
      <c r="F28" s="56" t="s">
        <v>230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0.60416666666666663</v>
      </c>
      <c r="D29" s="54">
        <v>0.64583333333333337</v>
      </c>
      <c r="E29" s="55" t="s">
        <v>97</v>
      </c>
      <c r="F29" s="56" t="s">
        <v>543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91"/>
      <c r="B30" s="93"/>
      <c r="C30" s="46">
        <v>0.70833333333333337</v>
      </c>
      <c r="D30" s="54">
        <v>0.83333333333333337</v>
      </c>
      <c r="E30" s="55"/>
      <c r="F30" s="56" t="s">
        <v>887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91"/>
      <c r="B31" s="93"/>
      <c r="C31" s="46">
        <v>0.83333333333333337</v>
      </c>
      <c r="D31" s="54">
        <v>0.90625</v>
      </c>
      <c r="E31" s="55" t="s">
        <v>103</v>
      </c>
      <c r="F31" s="56" t="s">
        <v>746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s="10" customFormat="1" ht="20.100000000000001" hidden="1" customHeight="1" x14ac:dyDescent="0.3">
      <c r="A32" s="91" t="s">
        <v>0</v>
      </c>
      <c r="B32" s="93" t="s">
        <v>1</v>
      </c>
      <c r="C32" s="50" t="s">
        <v>838</v>
      </c>
      <c r="D32" s="51" t="s">
        <v>2</v>
      </c>
      <c r="E32" s="52" t="s">
        <v>3</v>
      </c>
      <c r="F32" s="53" t="s">
        <v>4</v>
      </c>
    </row>
    <row r="33" spans="1:24" ht="15" customHeight="1" x14ac:dyDescent="0.3">
      <c r="A33" s="91" t="str">
        <f t="shared" ref="A33" si="8">PROPER(TEXT(B33, "dddd"))</f>
        <v>Fredag</v>
      </c>
      <c r="B33" s="93">
        <f t="shared" ref="B33" si="9">Fredag4</f>
        <v>45681</v>
      </c>
      <c r="C33" s="46">
        <v>0.35416666666666669</v>
      </c>
      <c r="D33" s="54">
        <v>0.39583333333333331</v>
      </c>
      <c r="E33" s="55" t="s">
        <v>128</v>
      </c>
      <c r="F33" s="56" t="s">
        <v>467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91"/>
      <c r="B34" s="93"/>
      <c r="C34" s="46">
        <v>0.375</v>
      </c>
      <c r="D34" s="54">
        <v>0.4375</v>
      </c>
      <c r="E34" s="55" t="s">
        <v>57</v>
      </c>
      <c r="F34" s="56" t="s">
        <v>521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91"/>
      <c r="B35" s="93"/>
      <c r="C35" s="46">
        <v>0.41666666666666669</v>
      </c>
      <c r="D35" s="54">
        <v>0.5</v>
      </c>
      <c r="E35" s="55"/>
      <c r="F35" s="56" t="s">
        <v>643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91"/>
      <c r="B36" s="93"/>
      <c r="C36" s="46">
        <v>0.45833333333333331</v>
      </c>
      <c r="D36" s="54">
        <v>0.54166666666666663</v>
      </c>
      <c r="E36" s="55"/>
      <c r="F36" s="56" t="s">
        <v>815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91"/>
      <c r="B37" s="93"/>
      <c r="C37" s="46">
        <v>0.70833333333333337</v>
      </c>
      <c r="D37" s="54">
        <v>0.83333333333333337</v>
      </c>
      <c r="E37" s="55"/>
      <c r="F37" s="56" t="s">
        <v>887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s="10" customFormat="1" ht="20.100000000000001" hidden="1" customHeight="1" x14ac:dyDescent="0.3">
      <c r="A38" s="91" t="s">
        <v>0</v>
      </c>
      <c r="B38" s="93" t="s">
        <v>1</v>
      </c>
      <c r="C38" s="50" t="s">
        <v>838</v>
      </c>
      <c r="D38" s="51" t="s">
        <v>2</v>
      </c>
      <c r="E38" s="52" t="s">
        <v>3</v>
      </c>
      <c r="F38" s="53" t="s">
        <v>4</v>
      </c>
    </row>
    <row r="39" spans="1:24" ht="15" customHeight="1" x14ac:dyDescent="0.3">
      <c r="A39" s="91" t="str">
        <f>PROPER(TEXT(B39, "dddd"))</f>
        <v>Lördag</v>
      </c>
      <c r="B39" s="93">
        <f>Lördag4</f>
        <v>45682</v>
      </c>
      <c r="C39" s="46">
        <v>0.29166666666666669</v>
      </c>
      <c r="D39" s="54">
        <v>0.66666666666666663</v>
      </c>
      <c r="E39" s="55"/>
      <c r="F39" s="56" t="s">
        <v>490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s="10" customFormat="1" ht="20.100000000000001" hidden="1" customHeight="1" x14ac:dyDescent="0.3">
      <c r="A40" s="91" t="s">
        <v>0</v>
      </c>
      <c r="B40" s="93" t="s">
        <v>1</v>
      </c>
      <c r="C40" s="50" t="s">
        <v>838</v>
      </c>
      <c r="D40" s="51" t="s">
        <v>2</v>
      </c>
      <c r="E40" s="52" t="s">
        <v>3</v>
      </c>
      <c r="F40" s="53" t="s">
        <v>4</v>
      </c>
    </row>
    <row r="41" spans="1:24" ht="15" customHeight="1" x14ac:dyDescent="0.3">
      <c r="A41" s="91" t="str">
        <f>PROPER(TEXT(B41, "dddd"))</f>
        <v>Söndag</v>
      </c>
      <c r="B41" s="93">
        <f>Söndag4</f>
        <v>45683</v>
      </c>
      <c r="C41" s="46">
        <v>0.375</v>
      </c>
      <c r="D41" s="54">
        <v>0.79166666666666663</v>
      </c>
      <c r="E41" s="55"/>
      <c r="F41" s="56" t="s">
        <v>887</v>
      </c>
      <c r="G41"/>
      <c r="H41" s="1"/>
      <c r="I41" s="1"/>
      <c r="L41"/>
      <c r="M41"/>
      <c r="N41"/>
      <c r="O41"/>
      <c r="P41"/>
      <c r="Q41"/>
      <c r="R41"/>
      <c r="S41"/>
      <c r="T41"/>
      <c r="V41"/>
      <c r="W41"/>
      <c r="X41"/>
    </row>
    <row r="42" spans="1:24" ht="15" customHeight="1" x14ac:dyDescent="0.3">
      <c r="A42" s="91"/>
      <c r="B42" s="93"/>
      <c r="C42" s="46">
        <v>0.79166666666666663</v>
      </c>
      <c r="D42" s="54">
        <v>0.83333333333333337</v>
      </c>
      <c r="E42" s="55" t="s">
        <v>86</v>
      </c>
      <c r="F42" s="56" t="s">
        <v>632</v>
      </c>
      <c r="G42"/>
      <c r="H42" s="1"/>
      <c r="I42" s="1"/>
      <c r="L42"/>
      <c r="M42"/>
      <c r="N42"/>
      <c r="O42"/>
      <c r="P42"/>
      <c r="Q42"/>
      <c r="R42"/>
      <c r="S42"/>
      <c r="T42"/>
      <c r="V42"/>
      <c r="W42"/>
      <c r="X42"/>
    </row>
    <row r="44" spans="1:24" ht="15" customHeight="1" x14ac:dyDescent="0.3">
      <c r="C44" s="46"/>
      <c r="D44" s="47"/>
    </row>
    <row r="45" spans="1:24" ht="15" customHeight="1" x14ac:dyDescent="0.3">
      <c r="C45" s="46"/>
      <c r="D45" s="8"/>
    </row>
    <row r="46" spans="1:24" ht="15" customHeight="1" x14ac:dyDescent="0.3">
      <c r="C46" s="46"/>
      <c r="D46" s="8"/>
    </row>
  </sheetData>
  <sheetProtection algorithmName="SHA-512" hashValue="j+DWro86WERy0hVwiFjsIUddx3ND9SD00GZLxfO4IrHaiXZOlV/+mxBNq4sfRGyUtpyHnHSKRCOmYLTDI8FQbg==" saltValue="4qPfiK4LxZT4IHEV+BRzNw==" spinCount="100000" sheet="1" objects="1" scenarios="1" autoFilter="0" pivotTables="0"/>
  <sortState xmlns:xlrd2="http://schemas.microsoft.com/office/spreadsheetml/2017/richdata2" ref="A33:F37">
    <sortCondition ref="C33:C37"/>
  </sortState>
  <conditionalFormatting sqref="A3:A6 A12:A13 A15:A19 A21:A22 A24:A28 A30:A31 A33:A36 A39 A41 A10">
    <cfRule type="expression" dxfId="3785" priority="4">
      <formula>OR(IF($A2="Dag",1))</formula>
    </cfRule>
  </conditionalFormatting>
  <conditionalFormatting sqref="A3:A6 A15:A22 A24:A31 A8:B13 A32:B42">
    <cfRule type="cellIs" dxfId="3784" priority="1" operator="equal">
      <formula>"Datum"</formula>
    </cfRule>
    <cfRule type="cellIs" dxfId="3783" priority="2" operator="equal">
      <formula>"Dag"</formula>
    </cfRule>
  </conditionalFormatting>
  <conditionalFormatting sqref="A40">
    <cfRule type="expression" dxfId="3782" priority="14">
      <formula>OR(IF(#REF!="Dag",1))</formula>
    </cfRule>
  </conditionalFormatting>
  <conditionalFormatting sqref="A29">
    <cfRule type="expression" dxfId="3781" priority="88">
      <formula>OR(IF($A25="Dag",1))</formula>
    </cfRule>
  </conditionalFormatting>
  <conditionalFormatting sqref="A20">
    <cfRule type="expression" dxfId="3780" priority="105">
      <formula>OR(IF($A15="Dag",1))</formula>
    </cfRule>
  </conditionalFormatting>
  <conditionalFormatting sqref="A42">
    <cfRule type="expression" dxfId="3779" priority="456">
      <formula>OR(IF(#REF!="Dag",1))</formula>
    </cfRule>
  </conditionalFormatting>
  <conditionalFormatting sqref="A1:B2 B3:B6 A7:B7 A14:B14 B15:B22 A23:B23 B24:B31 A43:B1048576">
    <cfRule type="cellIs" dxfId="3778" priority="6" operator="equal">
      <formula>"Datum"</formula>
    </cfRule>
    <cfRule type="cellIs" dxfId="3777" priority="7" operator="equal">
      <formula>"Dag"</formula>
    </cfRule>
  </conditionalFormatting>
  <conditionalFormatting sqref="B3:B6 B10 B12:B13 B15:B19 B21:B22 B24:B28 B30:B31 B33:B36 B39 B41">
    <cfRule type="expression" dxfId="3776" priority="13">
      <formula>OR(IF($B2="Datum",1))</formula>
    </cfRule>
  </conditionalFormatting>
  <conditionalFormatting sqref="B29">
    <cfRule type="expression" dxfId="3775" priority="97">
      <formula>OR(IF($B25="Datum",1))</formula>
    </cfRule>
  </conditionalFormatting>
  <conditionalFormatting sqref="B20">
    <cfRule type="expression" dxfId="3774" priority="114">
      <formula>OR(IF($B15="Datum",1))</formula>
    </cfRule>
  </conditionalFormatting>
  <conditionalFormatting sqref="B42">
    <cfRule type="expression" dxfId="3773" priority="469">
      <formula>OR(IF(#REF!="Datum",1))</formula>
    </cfRule>
  </conditionalFormatting>
  <conditionalFormatting sqref="C3:E42">
    <cfRule type="expression" dxfId="3772" priority="10">
      <formula>OR(IF($E3="Hela hallen",1))</formula>
    </cfRule>
  </conditionalFormatting>
  <conditionalFormatting sqref="L1:T1048576">
    <cfRule type="cellIs" dxfId="3771" priority="5" operator="equal">
      <formula>"-"</formula>
    </cfRule>
  </conditionalFormatting>
  <conditionalFormatting sqref="C3:F42">
    <cfRule type="expression" dxfId="3770" priority="1831">
      <formula>OR(IF(#REF!=TRUE,1))</formula>
    </cfRule>
  </conditionalFormatting>
  <conditionalFormatting sqref="A7:A9 A14 A23 A32 A38">
    <cfRule type="expression" dxfId="3769" priority="1832">
      <formula>OR(IF(#REF!="Dag",1))</formula>
    </cfRule>
  </conditionalFormatting>
  <conditionalFormatting sqref="B7:B9 B14 B23 B32 B38 B40">
    <cfRule type="expression" dxfId="3768" priority="1834">
      <formula>OR(IF(#REF!="Datum",1))</formula>
    </cfRule>
  </conditionalFormatting>
  <conditionalFormatting sqref="A11 A37">
    <cfRule type="expression" dxfId="3767" priority="1851">
      <formula>OR(IF($A8="Dag",1))</formula>
    </cfRule>
  </conditionalFormatting>
  <conditionalFormatting sqref="B11 B37">
    <cfRule type="expression" dxfId="3766" priority="1859">
      <formula>OR(IF($B8="Datum",1))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E273060-20EE-426C-B1BA-75DCD85B8062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A15:A19 A24:A28 A39 A41 A3:B6 A10:B10 A12:B13 A21:B22 A30:B31 A33:B36</xm:sqref>
        </x14:conditionalFormatting>
        <x14:conditionalFormatting xmlns:xm="http://schemas.microsoft.com/office/excel/2006/main">
          <x14:cfRule type="expression" priority="87" id="{FE273060-20EE-426C-B1BA-75DCD85B8062}">
            <xm:f>AND(IF(ISERROR(MATCH($B29,Kalenderår!$A$3:$A$17,0)),FALSE,TRUE), IF($B25="Datum",TRUE,FALSE), IF($A25="Dag",TRUE,FALSE))</xm:f>
            <x14:dxf>
              <font>
                <color rgb="FFC00000"/>
              </font>
            </x14:dxf>
          </x14:cfRule>
          <xm:sqref>A29</xm:sqref>
        </x14:conditionalFormatting>
        <x14:conditionalFormatting xmlns:xm="http://schemas.microsoft.com/office/excel/2006/main">
          <x14:cfRule type="expression" priority="104" id="{FE273060-20EE-426C-B1BA-75DCD85B8062}">
            <xm:f>AND(IF(ISERROR(MATCH($B20,Kalenderår!$A$3:$A$17,0)),FALSE,TRUE), IF($B15="Datum",TRUE,FALSE), IF($A15="Dag",TRUE,FALSE))</xm:f>
            <x14:dxf>
              <font>
                <color rgb="FFC00000"/>
              </font>
            </x14:dxf>
          </x14:cfRule>
          <xm:sqref>A20</xm:sqref>
        </x14:conditionalFormatting>
        <x14:conditionalFormatting xmlns:xm="http://schemas.microsoft.com/office/excel/2006/main">
          <x14:cfRule type="expression" priority="455" id="{FE273060-20EE-426C-B1BA-75DCD85B8062}">
            <xm:f>AND(IF(ISERROR(MATCH($B42,Kalenderår!$A$3:$A$17,0)),FALSE,TRUE),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A42</xm:sqref>
        </x14:conditionalFormatting>
        <x14:conditionalFormatting xmlns:xm="http://schemas.microsoft.com/office/excel/2006/main">
          <x14:cfRule type="expression" priority="9" id="{510A4251-7BC3-4BEB-BE86-882758258261}">
            <xm:f>AND(IF(ISERROR(MATCH($B15,Kalenderår!$A$3:$A$17,0)),FALSE,TRUE), IF($B14="Datum",TRUE,FALSE), IF($A14="Dag",TRUE,FALSE))</xm:f>
            <x14:dxf>
              <font>
                <color rgb="FFC00000"/>
              </font>
            </x14:dxf>
          </x14:cfRule>
          <xm:sqref>B15:B19 B24:B28 B39 B41</xm:sqref>
        </x14:conditionalFormatting>
        <x14:conditionalFormatting xmlns:xm="http://schemas.microsoft.com/office/excel/2006/main">
          <x14:cfRule type="expression" priority="94" id="{510A4251-7BC3-4BEB-BE86-882758258261}">
            <xm:f>AND(IF(ISERROR(MATCH($B29,Kalenderår!$A$3:$A$17,0)),FALSE,TRUE), IF($B25="Datum",TRUE,FALSE), IF($A25="Dag",TRUE,FALSE))</xm:f>
            <x14:dxf>
              <font>
                <color rgb="FFC00000"/>
              </font>
            </x14:dxf>
          </x14:cfRule>
          <xm:sqref>B29</xm:sqref>
        </x14:conditionalFormatting>
        <x14:conditionalFormatting xmlns:xm="http://schemas.microsoft.com/office/excel/2006/main">
          <x14:cfRule type="expression" priority="111" id="{510A4251-7BC3-4BEB-BE86-882758258261}">
            <xm:f>AND(IF(ISERROR(MATCH($B20,Kalenderår!$A$3:$A$17,0)),FALSE,TRUE), IF($B15="Datum",TRUE,FALSE), IF($A15="Dag",TRUE,FALSE))</xm:f>
            <x14:dxf>
              <font>
                <color rgb="FFC00000"/>
              </font>
            </x14:dxf>
          </x14:cfRule>
          <xm:sqref>B20</xm:sqref>
        </x14:conditionalFormatting>
        <x14:conditionalFormatting xmlns:xm="http://schemas.microsoft.com/office/excel/2006/main">
          <x14:cfRule type="expression" priority="467" id="{510A4251-7BC3-4BEB-BE86-882758258261}">
            <xm:f>AND(IF(ISERROR(MATCH($B42,Kalenderår!$A$3:$A$17,0)),FALSE,TRUE), IF(#REF!="Datum",TRUE,FALSE), IF(#REF!="Dag",TRUE,FALSE))</xm:f>
            <x14:dxf>
              <font>
                <color rgb="FFC00000"/>
              </font>
            </x14:dxf>
          </x14:cfRule>
          <xm:sqref>B42</xm:sqref>
        </x14:conditionalFormatting>
        <x14:conditionalFormatting xmlns:xm="http://schemas.microsoft.com/office/excel/2006/main">
          <x14:cfRule type="expression" priority="1843" id="{510A4251-7BC3-4BEB-BE86-882758258261}">
            <xm:f>AND(IF(ISERROR(MATCH($B7,Kalenderår!$A$3:$A$17,0)),FALSE,TRUE), IF(#REF!="Datum",TRUE,FALSE), IF(#REF!="Dag",TRUE,FALSE))</xm:f>
            <x14:dxf>
              <font>
                <color rgb="FFC00000"/>
              </font>
            </x14:dxf>
          </x14:cfRule>
          <xm:sqref>A7:B9 A14:B14 A23:B23 A32:B32 A38:B38 A40:B40</xm:sqref>
        </x14:conditionalFormatting>
        <x14:conditionalFormatting xmlns:xm="http://schemas.microsoft.com/office/excel/2006/main">
          <x14:cfRule type="expression" priority="1870" id="{FE273060-20EE-426C-B1BA-75DCD85B8062}">
            <xm:f>AND(IF(ISERROR(MATCH($B11,Kalenderår!$A$3:$A$17,0)),FALSE,TRUE), IF($B8="Datum",TRUE,FALSE), IF($A8="Dag",TRUE,FALSE))</xm:f>
            <x14:dxf>
              <font>
                <color rgb="FFC00000"/>
              </font>
            </x14:dxf>
          </x14:cfRule>
          <xm:sqref>A11:B11 A37:B37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0CCF3F-84C8-4D7E-982D-3FED38FCD133}">
          <x14:formula1>
            <xm:f>Listor!$A$2:$A$150</xm:f>
          </x14:formula1>
          <xm:sqref>E3:E6 E15:E22 E24:E31 E39 E41:E42 E8:E13 E33:E37</xm:sqref>
        </x14:dataValidation>
        <x14:dataValidation type="list" allowBlank="1" showInputMessage="1" showErrorMessage="1" xr:uid="{10B2E580-C9CA-4CDB-BFB6-A8A30C8EA3C1}">
          <x14:formula1>
            <xm:f>Kontaktuppgifter!$A$2:$A$300</xm:f>
          </x14:formula1>
          <xm:sqref>F3:F6 F15:F22 F24:F31 F39 F41:F42 F8:F13 F33:F37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2591-CFD1-402B-997F-CCBA4D86DA24}">
  <sheetPr codeName="Blad6">
    <pageSetUpPr fitToPage="1"/>
  </sheetPr>
  <dimension ref="A1:Y51"/>
  <sheetViews>
    <sheetView showGridLines="0" zoomScaleNormal="100" workbookViewId="0">
      <pane ySplit="2" topLeftCell="A23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103.10937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Måndag5</f>
        <v>45684</v>
      </c>
      <c r="W1" s="39">
        <f>Söndag5</f>
        <v>45690</v>
      </c>
      <c r="X1" s="40">
        <f>WEEKNUM(Söndag5, 2)</f>
        <v>5</v>
      </c>
      <c r="Y1" s="41" t="str">
        <f>"V. "&amp;X1&amp;", "&amp;TEXT(V1,"D MMM")&amp;"-"&amp;TEXT(W1,"D MMM")</f>
        <v>V. 5, 27 jan-2 feb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Måndag5</f>
        <v>45684</v>
      </c>
      <c r="C3" s="46">
        <v>0.52083333333333337</v>
      </c>
      <c r="D3" s="47">
        <v>0.59375</v>
      </c>
      <c r="E3" s="48">
        <v>45</v>
      </c>
      <c r="F3" s="49" t="s">
        <v>829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0.625</v>
      </c>
      <c r="D4" s="47">
        <v>0.66666666666666663</v>
      </c>
      <c r="E4" s="48"/>
      <c r="F4" s="49" t="s">
        <v>596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91"/>
      <c r="B5" s="92"/>
      <c r="C5" s="46">
        <v>0.70833333333333337</v>
      </c>
      <c r="D5" s="47">
        <v>0.83333333333333337</v>
      </c>
      <c r="E5" s="48"/>
      <c r="F5" s="49" t="s">
        <v>887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2"/>
      <c r="C6" s="46">
        <v>0.83333333333333337</v>
      </c>
      <c r="D6" s="47">
        <v>0.875</v>
      </c>
      <c r="E6" s="48" t="s">
        <v>89</v>
      </c>
      <c r="F6" s="49" t="s">
        <v>294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2"/>
      <c r="C7" s="46">
        <v>0.83333333333333337</v>
      </c>
      <c r="D7" s="47">
        <v>0.875</v>
      </c>
      <c r="E7" s="48" t="s">
        <v>83</v>
      </c>
      <c r="F7" s="49" t="s">
        <v>375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</row>
    <row r="9" spans="1:25" ht="15" customHeight="1" x14ac:dyDescent="0.3">
      <c r="A9" s="91" t="str">
        <f t="shared" ref="A9" si="2">PROPER(TEXT(B9, "dddd"))</f>
        <v>Tisdag</v>
      </c>
      <c r="B9" s="93">
        <f t="shared" ref="B9" si="3">Tisdag5</f>
        <v>45685</v>
      </c>
      <c r="C9" s="46">
        <v>0.33333333333333331</v>
      </c>
      <c r="D9" s="54">
        <v>0.39583333333333331</v>
      </c>
      <c r="E9" s="55"/>
      <c r="F9" s="56" t="s">
        <v>522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0.35416666666666669</v>
      </c>
      <c r="D10" s="54">
        <v>0.39583333333333331</v>
      </c>
      <c r="E10" s="55" t="s">
        <v>128</v>
      </c>
      <c r="F10" s="56" t="s">
        <v>467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0.375</v>
      </c>
      <c r="D11" s="54">
        <v>0.44791666666666669</v>
      </c>
      <c r="E11" s="55" t="s">
        <v>94</v>
      </c>
      <c r="F11" s="56" t="s">
        <v>521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0.52083333333333337</v>
      </c>
      <c r="D12" s="54">
        <v>0.5625</v>
      </c>
      <c r="E12" s="55" t="s">
        <v>97</v>
      </c>
      <c r="F12" s="56" t="s">
        <v>543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0.5625</v>
      </c>
      <c r="D13" s="54">
        <v>0.64583333333333337</v>
      </c>
      <c r="E13" s="55"/>
      <c r="F13" s="56" t="s">
        <v>601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0.70833333333333337</v>
      </c>
      <c r="D14" s="54">
        <v>0.83333333333333337</v>
      </c>
      <c r="E14" s="55"/>
      <c r="F14" s="56" t="s">
        <v>887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0.83333333333333337</v>
      </c>
      <c r="D15" s="54">
        <v>0.875</v>
      </c>
      <c r="E15" s="55" t="s">
        <v>89</v>
      </c>
      <c r="F15" s="56" t="s">
        <v>619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s="10" customFormat="1" ht="20.100000000000001" hidden="1" customHeight="1" x14ac:dyDescent="0.3">
      <c r="A16" s="91" t="s">
        <v>0</v>
      </c>
      <c r="B16" s="93" t="s">
        <v>1</v>
      </c>
      <c r="C16" s="50" t="s">
        <v>838</v>
      </c>
      <c r="D16" s="51" t="s">
        <v>2</v>
      </c>
      <c r="E16" s="52" t="s">
        <v>3</v>
      </c>
      <c r="F16" s="53" t="s">
        <v>4</v>
      </c>
    </row>
    <row r="17" spans="1:24" ht="15" customHeight="1" x14ac:dyDescent="0.3">
      <c r="A17" s="91" t="str">
        <f t="shared" ref="A17" si="4">PROPER(TEXT(B17, "dddd"))</f>
        <v>Onsdag</v>
      </c>
      <c r="B17" s="93">
        <f t="shared" ref="B17" si="5">Onsdag5</f>
        <v>45686</v>
      </c>
      <c r="C17" s="46">
        <v>0.35416666666666669</v>
      </c>
      <c r="D17" s="54">
        <v>0.39583333333333331</v>
      </c>
      <c r="E17" s="55" t="s">
        <v>128</v>
      </c>
      <c r="F17" s="56" t="s">
        <v>467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0.375</v>
      </c>
      <c r="D18" s="54">
        <v>0.45833333333333331</v>
      </c>
      <c r="E18" s="55"/>
      <c r="F18" s="56" t="s">
        <v>752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0.41666666666666669</v>
      </c>
      <c r="D19" s="54">
        <v>0.5</v>
      </c>
      <c r="E19" s="55"/>
      <c r="F19" s="56" t="s">
        <v>657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0.55555555555555558</v>
      </c>
      <c r="D20" s="54">
        <v>0.63888888888888884</v>
      </c>
      <c r="E20" s="55"/>
      <c r="F20" s="56" t="s">
        <v>28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/>
      <c r="B21" s="93"/>
      <c r="C21" s="46">
        <v>0.55555555555555558</v>
      </c>
      <c r="D21" s="54">
        <v>0.63888888888888884</v>
      </c>
      <c r="E21" s="55"/>
      <c r="F21" s="56" t="s">
        <v>791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0.70833333333333337</v>
      </c>
      <c r="D22" s="54">
        <v>0.83333333333333337</v>
      </c>
      <c r="E22" s="55"/>
      <c r="F22" s="56" t="s">
        <v>887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0.73958333333333337</v>
      </c>
      <c r="D23" s="54">
        <v>0.8125</v>
      </c>
      <c r="E23" s="55"/>
      <c r="F23" s="56" t="s">
        <v>844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0.83333333333333337</v>
      </c>
      <c r="D24" s="54">
        <v>0.875</v>
      </c>
      <c r="E24" s="55" t="s">
        <v>98</v>
      </c>
      <c r="F24" s="56" t="s">
        <v>422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/>
      <c r="B25" s="93"/>
      <c r="C25" s="46">
        <v>0.83333333333333337</v>
      </c>
      <c r="D25" s="54">
        <v>0.875</v>
      </c>
      <c r="E25" s="55" t="s">
        <v>97</v>
      </c>
      <c r="F25" s="56" t="s">
        <v>342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s="10" customFormat="1" ht="20.100000000000001" hidden="1" customHeight="1" x14ac:dyDescent="0.3">
      <c r="A26" s="91" t="s">
        <v>0</v>
      </c>
      <c r="B26" s="93" t="s">
        <v>1</v>
      </c>
      <c r="C26" s="50" t="s">
        <v>838</v>
      </c>
      <c r="D26" s="51" t="s">
        <v>2</v>
      </c>
      <c r="E26" s="52" t="s">
        <v>3</v>
      </c>
      <c r="F26" s="53" t="s">
        <v>4</v>
      </c>
    </row>
    <row r="27" spans="1:24" ht="15" customHeight="1" x14ac:dyDescent="0.3">
      <c r="A27" s="91" t="str">
        <f t="shared" ref="A27" si="6">PROPER(TEXT(B27, "dddd"))</f>
        <v>Torsdag</v>
      </c>
      <c r="B27" s="93">
        <f t="shared" ref="B27" si="7">Torsdag5</f>
        <v>45687</v>
      </c>
      <c r="C27" s="46">
        <v>0.375</v>
      </c>
      <c r="D27" s="54">
        <v>0.4375</v>
      </c>
      <c r="E27" s="55" t="s">
        <v>81</v>
      </c>
      <c r="F27" s="56" t="s">
        <v>521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0.41666666666666669</v>
      </c>
      <c r="D28" s="54">
        <v>0.5</v>
      </c>
      <c r="E28" s="55"/>
      <c r="F28" s="56" t="s">
        <v>252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0.5625</v>
      </c>
      <c r="D29" s="54">
        <v>0.64583333333333337</v>
      </c>
      <c r="E29" s="55"/>
      <c r="F29" s="56" t="s">
        <v>230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91"/>
      <c r="B30" s="93"/>
      <c r="C30" s="46">
        <v>0.70833333333333337</v>
      </c>
      <c r="D30" s="54">
        <v>0.83333333333333337</v>
      </c>
      <c r="E30" s="55"/>
      <c r="F30" s="56" t="s">
        <v>887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91"/>
      <c r="B31" s="93"/>
      <c r="C31" s="46">
        <v>0.83333333333333337</v>
      </c>
      <c r="D31" s="54">
        <v>0.90625</v>
      </c>
      <c r="E31" s="55" t="s">
        <v>103</v>
      </c>
      <c r="F31" s="56" t="s">
        <v>746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s="10" customFormat="1" ht="20.100000000000001" hidden="1" customHeight="1" x14ac:dyDescent="0.3">
      <c r="A32" s="91" t="s">
        <v>0</v>
      </c>
      <c r="B32" s="93" t="s">
        <v>1</v>
      </c>
      <c r="C32" s="50" t="s">
        <v>838</v>
      </c>
      <c r="D32" s="51" t="s">
        <v>2</v>
      </c>
      <c r="E32" s="52" t="s">
        <v>3</v>
      </c>
      <c r="F32" s="53" t="s">
        <v>4</v>
      </c>
    </row>
    <row r="33" spans="1:24" ht="15" customHeight="1" x14ac:dyDescent="0.3">
      <c r="A33" s="91" t="str">
        <f t="shared" ref="A33" si="8">PROPER(TEXT(B33, "dddd"))</f>
        <v>Fredag</v>
      </c>
      <c r="B33" s="93">
        <f t="shared" ref="B33" si="9">Fredag5</f>
        <v>45688</v>
      </c>
      <c r="C33" s="46">
        <v>0.35416666666666669</v>
      </c>
      <c r="D33" s="54">
        <v>0.39583333333333331</v>
      </c>
      <c r="E33" s="55" t="s">
        <v>128</v>
      </c>
      <c r="F33" s="56" t="s">
        <v>467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91"/>
      <c r="B34" s="93"/>
      <c r="C34" s="46">
        <v>0.375</v>
      </c>
      <c r="D34" s="54">
        <v>0.4375</v>
      </c>
      <c r="E34" s="55" t="s">
        <v>57</v>
      </c>
      <c r="F34" s="56" t="s">
        <v>521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91"/>
      <c r="B35" s="93"/>
      <c r="C35" s="46">
        <v>0.41666666666666669</v>
      </c>
      <c r="D35" s="54">
        <v>0.5</v>
      </c>
      <c r="E35" s="55"/>
      <c r="F35" s="56" t="s">
        <v>643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91"/>
      <c r="B36" s="93"/>
      <c r="C36" s="46">
        <v>0.45833333333333331</v>
      </c>
      <c r="D36" s="54">
        <v>0.54166666666666663</v>
      </c>
      <c r="E36" s="55"/>
      <c r="F36" s="56" t="s">
        <v>815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91"/>
      <c r="B37" s="93"/>
      <c r="C37" s="46">
        <v>0.47916666666666669</v>
      </c>
      <c r="D37" s="54">
        <v>0.54166666666666663</v>
      </c>
      <c r="E37" s="55">
        <v>3</v>
      </c>
      <c r="F37" s="56" t="s">
        <v>570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customHeight="1" x14ac:dyDescent="0.3">
      <c r="A38" s="91"/>
      <c r="B38" s="93"/>
      <c r="C38" s="46">
        <v>0.61458333333333337</v>
      </c>
      <c r="D38" s="54">
        <v>0.65625</v>
      </c>
      <c r="E38" s="55"/>
      <c r="F38" s="56" t="s">
        <v>596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customHeight="1" x14ac:dyDescent="0.3">
      <c r="A39" s="91"/>
      <c r="B39" s="93"/>
      <c r="C39" s="46">
        <v>0.70833333333333337</v>
      </c>
      <c r="D39" s="54">
        <v>0.83333333333333337</v>
      </c>
      <c r="E39" s="55"/>
      <c r="F39" s="56" t="s">
        <v>887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s="10" customFormat="1" ht="20.100000000000001" hidden="1" customHeight="1" x14ac:dyDescent="0.3">
      <c r="A40" s="91" t="s">
        <v>0</v>
      </c>
      <c r="B40" s="93" t="s">
        <v>1</v>
      </c>
      <c r="C40" s="50" t="s">
        <v>838</v>
      </c>
      <c r="D40" s="51" t="s">
        <v>2</v>
      </c>
      <c r="E40" s="52" t="s">
        <v>3</v>
      </c>
      <c r="F40" s="53" t="s">
        <v>4</v>
      </c>
    </row>
    <row r="41" spans="1:24" ht="15" customHeight="1" x14ac:dyDescent="0.3">
      <c r="A41" s="91" t="str">
        <f>PROPER(TEXT(B41, "dddd"))</f>
        <v>Lördag</v>
      </c>
      <c r="B41" s="93">
        <f>Lördag5</f>
        <v>45689</v>
      </c>
      <c r="C41" s="46">
        <v>0.375</v>
      </c>
      <c r="D41" s="54">
        <v>0.625</v>
      </c>
      <c r="E41" s="55"/>
      <c r="F41" s="56" t="s">
        <v>887</v>
      </c>
      <c r="G41"/>
      <c r="H41" s="1"/>
      <c r="I41" s="1"/>
      <c r="L41"/>
      <c r="M41"/>
      <c r="N41"/>
      <c r="O41"/>
      <c r="P41"/>
      <c r="Q41"/>
      <c r="R41"/>
      <c r="S41"/>
      <c r="T41"/>
      <c r="V41"/>
      <c r="W41"/>
      <c r="X41"/>
    </row>
    <row r="42" spans="1:24" ht="15" customHeight="1" x14ac:dyDescent="0.3">
      <c r="A42" s="91"/>
      <c r="B42" s="93"/>
      <c r="C42" s="46">
        <v>0.58333333333333337</v>
      </c>
      <c r="D42" s="54">
        <v>0.625</v>
      </c>
      <c r="E42" s="55" t="s">
        <v>99</v>
      </c>
      <c r="F42" s="56" t="s">
        <v>742</v>
      </c>
      <c r="G42"/>
      <c r="H42" s="1"/>
      <c r="I42" s="1"/>
      <c r="L42"/>
      <c r="M42"/>
      <c r="N42"/>
      <c r="O42"/>
      <c r="P42"/>
      <c r="Q42"/>
      <c r="R42"/>
      <c r="S42"/>
      <c r="T42"/>
      <c r="V42"/>
      <c r="W42"/>
      <c r="X42"/>
    </row>
    <row r="43" spans="1:24" ht="15" customHeight="1" x14ac:dyDescent="0.3">
      <c r="A43" s="91"/>
      <c r="B43" s="93"/>
      <c r="C43" s="46">
        <v>0.625</v>
      </c>
      <c r="D43" s="54">
        <v>0.66666666666666663</v>
      </c>
      <c r="E43" s="55"/>
      <c r="F43" s="56" t="s">
        <v>575</v>
      </c>
      <c r="G43"/>
      <c r="H43" s="1"/>
      <c r="I43" s="1"/>
      <c r="L43"/>
      <c r="M43"/>
      <c r="N43"/>
      <c r="O43"/>
      <c r="P43"/>
      <c r="Q43"/>
      <c r="R43"/>
      <c r="S43"/>
      <c r="T43"/>
      <c r="V43"/>
      <c r="W43"/>
      <c r="X43"/>
    </row>
    <row r="44" spans="1:24" ht="15" customHeight="1" x14ac:dyDescent="0.3">
      <c r="A44" s="91"/>
      <c r="B44" s="93"/>
      <c r="C44" s="46">
        <v>0.67708333333333337</v>
      </c>
      <c r="D44" s="54">
        <v>0.77083333333333337</v>
      </c>
      <c r="E44" s="55"/>
      <c r="F44" s="56" t="s">
        <v>200</v>
      </c>
      <c r="G44"/>
      <c r="H44" s="1"/>
      <c r="I44" s="1"/>
      <c r="L44"/>
      <c r="M44"/>
      <c r="N44"/>
      <c r="O44"/>
      <c r="P44"/>
      <c r="Q44"/>
      <c r="R44"/>
      <c r="S44"/>
      <c r="T44"/>
      <c r="V44"/>
      <c r="W44"/>
      <c r="X44"/>
    </row>
    <row r="45" spans="1:24" s="10" customFormat="1" ht="20.100000000000001" hidden="1" customHeight="1" x14ac:dyDescent="0.3">
      <c r="A45" s="91" t="s">
        <v>0</v>
      </c>
      <c r="B45" s="93" t="s">
        <v>1</v>
      </c>
      <c r="C45" s="50" t="s">
        <v>838</v>
      </c>
      <c r="D45" s="51" t="s">
        <v>2</v>
      </c>
      <c r="E45" s="52" t="s">
        <v>3</v>
      </c>
      <c r="F45" s="53" t="s">
        <v>4</v>
      </c>
    </row>
    <row r="46" spans="1:24" ht="15" customHeight="1" x14ac:dyDescent="0.3">
      <c r="A46" s="91" t="str">
        <f>PROPER(TEXT(B46, "dddd"))</f>
        <v>Söndag</v>
      </c>
      <c r="B46" s="93">
        <f>Söndag5</f>
        <v>45690</v>
      </c>
      <c r="C46" s="46">
        <v>0.375</v>
      </c>
      <c r="D46" s="54">
        <v>0.79166666666666663</v>
      </c>
      <c r="E46" s="55"/>
      <c r="F46" s="56" t="s">
        <v>887</v>
      </c>
      <c r="G46"/>
      <c r="H46" s="1"/>
      <c r="I46" s="1"/>
      <c r="L46"/>
      <c r="M46"/>
      <c r="N46"/>
      <c r="O46"/>
      <c r="P46"/>
      <c r="Q46"/>
      <c r="R46"/>
      <c r="S46"/>
      <c r="T46"/>
      <c r="V46"/>
      <c r="W46"/>
      <c r="X46"/>
    </row>
    <row r="47" spans="1:24" ht="15" customHeight="1" x14ac:dyDescent="0.3">
      <c r="A47" s="91"/>
      <c r="B47" s="93"/>
      <c r="C47" s="46">
        <v>0.79166666666666663</v>
      </c>
      <c r="D47" s="54">
        <v>0.83333333333333337</v>
      </c>
      <c r="E47" s="55" t="s">
        <v>86</v>
      </c>
      <c r="F47" s="56" t="s">
        <v>632</v>
      </c>
      <c r="G47"/>
      <c r="H47" s="1"/>
      <c r="I47" s="1"/>
      <c r="L47"/>
      <c r="M47"/>
      <c r="N47"/>
      <c r="O47"/>
      <c r="P47"/>
      <c r="Q47"/>
      <c r="R47"/>
      <c r="S47"/>
      <c r="T47"/>
      <c r="V47"/>
      <c r="W47"/>
      <c r="X47"/>
    </row>
    <row r="49" spans="3:4" ht="15" customHeight="1" x14ac:dyDescent="0.3">
      <c r="C49" s="46"/>
      <c r="D49" s="47"/>
    </row>
    <row r="50" spans="3:4" ht="15" customHeight="1" x14ac:dyDescent="0.3">
      <c r="C50" s="46"/>
      <c r="D50" s="8"/>
    </row>
    <row r="51" spans="3:4" ht="15" customHeight="1" x14ac:dyDescent="0.3">
      <c r="C51" s="46"/>
      <c r="D51" s="8"/>
    </row>
  </sheetData>
  <sheetProtection algorithmName="SHA-512" hashValue="13n5jNqE1sKrv3i6J4NMwX2W8OiPIKsXvnFRwW7wMOjv+2rBh7Z6vD/GX1qHEPK1UDlIfFstZwmBsb28ifvAPA==" saltValue="6eoLP5EDwKnreWAfTo6owg==" spinCount="100000" sheet="1" objects="1" scenarios="1" autoFilter="0" pivotTables="0"/>
  <sortState xmlns:xlrd2="http://schemas.microsoft.com/office/spreadsheetml/2017/richdata2" ref="A33:F39">
    <sortCondition ref="C33:C39"/>
  </sortState>
  <conditionalFormatting sqref="A22:A24 A3:A7 A9:A13 A17:A19 A28:A31 A33:A38 A41:A43 A46">
    <cfRule type="expression" dxfId="3699" priority="12">
      <formula>OR(IF($A2="Dag",1))</formula>
    </cfRule>
  </conditionalFormatting>
  <conditionalFormatting sqref="A14">
    <cfRule type="expression" dxfId="3698" priority="116">
      <formula>OR(IF($A10="Dag",1))</formula>
    </cfRule>
  </conditionalFormatting>
  <conditionalFormatting sqref="A25 A39">
    <cfRule type="expression" dxfId="3697" priority="135">
      <formula>OR(IF($A23="Dag",1))</formula>
    </cfRule>
  </conditionalFormatting>
  <conditionalFormatting sqref="A21">
    <cfRule type="expression" dxfId="3696" priority="127">
      <formula>OR(IF($A18="Dag",1))</formula>
    </cfRule>
  </conditionalFormatting>
  <conditionalFormatting sqref="A44 A47">
    <cfRule type="expression" dxfId="3695" priority="471">
      <formula>OR(IF(#REF!="Dag",1))</formula>
    </cfRule>
  </conditionalFormatting>
  <conditionalFormatting sqref="A1:B1048576">
    <cfRule type="cellIs" dxfId="3694" priority="4" operator="equal">
      <formula>"Datum"</formula>
    </cfRule>
    <cfRule type="cellIs" dxfId="3693" priority="5" operator="equal">
      <formula>"Dag"</formula>
    </cfRule>
  </conditionalFormatting>
  <conditionalFormatting sqref="B22:B24 B3:B7 B9:B13 B17:B19 B28:B31 B33:B38 B41:B43 B46">
    <cfRule type="expression" dxfId="3692" priority="11">
      <formula>OR(IF($B2="Datum",1))</formula>
    </cfRule>
  </conditionalFormatting>
  <conditionalFormatting sqref="B14">
    <cfRule type="expression" dxfId="3691" priority="125">
      <formula>OR(IF($B10="Datum",1))</formula>
    </cfRule>
  </conditionalFormatting>
  <conditionalFormatting sqref="B25 B39">
    <cfRule type="expression" dxfId="3690" priority="139">
      <formula>OR(IF($B23="Datum",1))</formula>
    </cfRule>
  </conditionalFormatting>
  <conditionalFormatting sqref="B21">
    <cfRule type="expression" dxfId="3689" priority="133">
      <formula>OR(IF($B18="Datum",1))</formula>
    </cfRule>
  </conditionalFormatting>
  <conditionalFormatting sqref="B44 B47">
    <cfRule type="expression" dxfId="3688" priority="486">
      <formula>OR(IF(#REF!="Datum",1))</formula>
    </cfRule>
  </conditionalFormatting>
  <conditionalFormatting sqref="C3:E47">
    <cfRule type="expression" dxfId="3687" priority="8">
      <formula>OR(IF($E3="Hela hallen",1))</formula>
    </cfRule>
  </conditionalFormatting>
  <conditionalFormatting sqref="L1:T1048576">
    <cfRule type="cellIs" dxfId="3686" priority="3" operator="equal">
      <formula>"-"</formula>
    </cfRule>
  </conditionalFormatting>
  <conditionalFormatting sqref="A15">
    <cfRule type="expression" dxfId="3685" priority="545">
      <formula>OR(IF(#REF!="Dag",1))</formula>
    </cfRule>
  </conditionalFormatting>
  <conditionalFormatting sqref="B15">
    <cfRule type="expression" dxfId="3684" priority="553">
      <formula>OR(IF(#REF!="Datum",1))</formula>
    </cfRule>
  </conditionalFormatting>
  <conditionalFormatting sqref="C3:F47">
    <cfRule type="expression" dxfId="3683" priority="1872">
      <formula>OR(IF(#REF!=TRUE,1))</formula>
    </cfRule>
  </conditionalFormatting>
  <conditionalFormatting sqref="A8 A16 A20 A26:A27 A32 A40 A45">
    <cfRule type="expression" dxfId="3682" priority="1874">
      <formula>OR(IF(#REF!="Dag",1))</formula>
    </cfRule>
  </conditionalFormatting>
  <conditionalFormatting sqref="B8 B16 B20 B26:B27 B32 B40 B45">
    <cfRule type="expression" dxfId="3681" priority="1883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4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7353EC8-982A-4BC8-A6C8-0BAA1430C348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A3:B7 A9:B13 A17:B19 A28:B31 A33:B38 A41:B43 A46:B46</xm:sqref>
        </x14:conditionalFormatting>
        <x14:conditionalFormatting xmlns:xm="http://schemas.microsoft.com/office/excel/2006/main">
          <x14:cfRule type="expression" priority="2" id="{8DFD2591-311A-4982-9AA1-0432C0C38A42}">
            <xm:f>AND(IF(ISERROR(MATCH($B22,Kalenderår!$A$3:$A$17,0)),FALSE,TRUE), IF($B21="Datum",TRUE,FALSE), IF($A21="Dag",TRUE,FALSE))</xm:f>
            <x14:dxf>
              <font>
                <color rgb="FFC00000"/>
              </font>
            </x14:dxf>
          </x14:cfRule>
          <xm:sqref>A22:B24</xm:sqref>
        </x14:conditionalFormatting>
        <x14:conditionalFormatting xmlns:xm="http://schemas.microsoft.com/office/excel/2006/main">
          <x14:cfRule type="expression" priority="119" id="{8DFD2591-311A-4982-9AA1-0432C0C38A42}">
            <xm:f>AND(IF(ISERROR(MATCH($B14,Kalenderår!$A$3:$A$17,0)),FALSE,TRUE), IF($B10="Datum",TRUE,FALSE), IF($A10="Dag",TRUE,FALSE))</xm:f>
            <x14:dxf>
              <font>
                <color rgb="FFC00000"/>
              </font>
            </x14:dxf>
          </x14:cfRule>
          <xm:sqref>A14:B14</xm:sqref>
        </x14:conditionalFormatting>
        <x14:conditionalFormatting xmlns:xm="http://schemas.microsoft.com/office/excel/2006/main">
          <x14:cfRule type="expression" priority="137" id="{8DFD2591-311A-4982-9AA1-0432C0C38A42}">
            <xm:f>AND(IF(ISERROR(MATCH($B25,Kalenderår!$A$3:$A$17,0)),FALSE,TRUE), IF($B23="Datum",TRUE,FALSE), IF($A23="Dag",TRUE,FALSE))</xm:f>
            <x14:dxf>
              <font>
                <color rgb="FFC00000"/>
              </font>
            </x14:dxf>
          </x14:cfRule>
          <xm:sqref>A25:B25 A39:B39</xm:sqref>
        </x14:conditionalFormatting>
        <x14:conditionalFormatting xmlns:xm="http://schemas.microsoft.com/office/excel/2006/main">
          <x14:cfRule type="expression" priority="130" id="{8DFD2591-311A-4982-9AA1-0432C0C38A42}">
            <xm:f>AND(IF(ISERROR(MATCH($B21,Kalenderår!$A$3:$A$17,0)),FALSE,TRUE), IF($B18="Datum",TRUE,FALSE), IF($A18="Dag",TRUE,FALSE))</xm:f>
            <x14:dxf>
              <font>
                <color rgb="FFC00000"/>
              </font>
            </x14:dxf>
          </x14:cfRule>
          <xm:sqref>A21:B21</xm:sqref>
        </x14:conditionalFormatting>
        <x14:conditionalFormatting xmlns:xm="http://schemas.microsoft.com/office/excel/2006/main">
          <x14:cfRule type="expression" priority="474" id="{D1EE33CE-7C6B-4322-9303-8377F91B2D8A}">
            <xm:f>AND(IF(ISERROR(MATCH($B44,Kalenderår!$A$3:$A$17,0)),FALSE,TRUE),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A44:B44 A47:B47</xm:sqref>
        </x14:conditionalFormatting>
        <x14:conditionalFormatting xmlns:xm="http://schemas.microsoft.com/office/excel/2006/main">
          <x14:cfRule type="expression" priority="562" id="{8DFD2591-311A-4982-9AA1-0432C0C38A42}">
            <xm:f>AND(IF(ISERROR(MATCH($B15,Kalenderår!$A$3:$A$17,0)),FALSE,TRUE),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A15:B15</xm:sqref>
        </x14:conditionalFormatting>
        <x14:conditionalFormatting xmlns:xm="http://schemas.microsoft.com/office/excel/2006/main">
          <x14:cfRule type="expression" priority="1892" id="{8DFD2591-311A-4982-9AA1-0432C0C38A42}">
            <xm:f>AND(IF(ISERROR(MATCH($B8,Kalenderår!$A$3:$A$17,0)),FALSE,TRUE), IF(#REF!="Datum",TRUE,FALSE), IF(#REF!="Dag",TRUE,FALSE))</xm:f>
            <x14:dxf>
              <font>
                <color rgb="FFC00000"/>
              </font>
            </x14:dxf>
          </x14:cfRule>
          <xm:sqref>A8:B8 A16:B16 A20:B20 A26:B27 A32:B32 A40:B40 A45:B45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D28822-80AE-47AC-89FB-56BE48190893}">
          <x14:formula1>
            <xm:f>Listor!$A$2:$A$150</xm:f>
          </x14:formula1>
          <xm:sqref>E3:E7 E46:E47 E41:E44 E9:E15 E33:E39 E17:E25 E27:E31</xm:sqref>
        </x14:dataValidation>
        <x14:dataValidation type="list" allowBlank="1" showInputMessage="1" showErrorMessage="1" xr:uid="{5F1952A2-80C0-4D48-BF21-72A2A18A6F22}">
          <x14:formula1>
            <xm:f>Kontaktuppgifter!$A$2:$A$300</xm:f>
          </x14:formula1>
          <xm:sqref>F3:F7 F46:F47 F41:F44 F9:F15 F33:F39 F17:F25 F27:F31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23A2-E519-46F1-ADAA-46921D33257A}">
  <sheetPr codeName="Blad7">
    <pageSetUpPr fitToPage="1"/>
  </sheetPr>
  <dimension ref="A1:Y49"/>
  <sheetViews>
    <sheetView showGridLines="0" zoomScaleNormal="100" workbookViewId="0">
      <pane ySplit="2" topLeftCell="A21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Måndag6</f>
        <v>45691</v>
      </c>
      <c r="W1" s="39">
        <f>Söndag6</f>
        <v>45697</v>
      </c>
      <c r="X1" s="40">
        <f>WEEKNUM(Söndag6, 2)</f>
        <v>6</v>
      </c>
      <c r="Y1" s="41" t="str">
        <f>"V. "&amp;X1&amp;", "&amp;TEXT(V1,"D MMM")&amp;"-"&amp;TEXT(W1,"D MMM")</f>
        <v>V. 6, 3 feb-9 feb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>Måndag6</f>
        <v>45691</v>
      </c>
      <c r="C3" s="46">
        <v>0.625</v>
      </c>
      <c r="D3" s="47">
        <v>0.66666666666666663</v>
      </c>
      <c r="E3" s="48"/>
      <c r="F3" s="49" t="s">
        <v>596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0.70833333333333337</v>
      </c>
      <c r="D4" s="47">
        <v>0.83333333333333337</v>
      </c>
      <c r="E4" s="48"/>
      <c r="F4" s="49" t="s">
        <v>887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91"/>
      <c r="B5" s="92"/>
      <c r="C5" s="46">
        <v>0.83333333333333337</v>
      </c>
      <c r="D5" s="47">
        <v>0.875</v>
      </c>
      <c r="E5" s="48" t="s">
        <v>89</v>
      </c>
      <c r="F5" s="49" t="s">
        <v>294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2"/>
      <c r="C6" s="46">
        <v>0.83333333333333337</v>
      </c>
      <c r="D6" s="47">
        <v>0.875</v>
      </c>
      <c r="E6" s="48" t="s">
        <v>84</v>
      </c>
      <c r="F6" s="49" t="s">
        <v>375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91" t="s">
        <v>0</v>
      </c>
      <c r="B7" s="93" t="s">
        <v>1</v>
      </c>
      <c r="C7" s="50" t="s">
        <v>838</v>
      </c>
      <c r="D7" s="51" t="s">
        <v>2</v>
      </c>
      <c r="E7" s="52" t="s">
        <v>3</v>
      </c>
      <c r="F7" s="53" t="s">
        <v>4</v>
      </c>
    </row>
    <row r="8" spans="1:25" ht="15" customHeight="1" x14ac:dyDescent="0.3">
      <c r="A8" s="91" t="str">
        <f t="shared" ref="A8" si="0">PROPER(TEXT(B8, "dddd"))</f>
        <v>Tisdag</v>
      </c>
      <c r="B8" s="93">
        <f t="shared" ref="B8" si="1">Tisdag6</f>
        <v>45692</v>
      </c>
      <c r="C8" s="46">
        <v>0.33333333333333331</v>
      </c>
      <c r="D8" s="54">
        <v>0.39583333333333331</v>
      </c>
      <c r="E8" s="55"/>
      <c r="F8" s="56" t="s">
        <v>522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0.375</v>
      </c>
      <c r="D9" s="54">
        <v>0.44791666666666669</v>
      </c>
      <c r="E9" s="55" t="s">
        <v>94</v>
      </c>
      <c r="F9" s="56" t="s">
        <v>521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0.5625</v>
      </c>
      <c r="D10" s="54">
        <v>0.64583333333333337</v>
      </c>
      <c r="E10" s="55"/>
      <c r="F10" s="56" t="s">
        <v>601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0.70833333333333337</v>
      </c>
      <c r="D11" s="54">
        <v>0.83333333333333337</v>
      </c>
      <c r="E11" s="55"/>
      <c r="F11" s="56" t="s">
        <v>887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0.83333333333333337</v>
      </c>
      <c r="D12" s="54">
        <v>0.875</v>
      </c>
      <c r="E12" s="55" t="s">
        <v>89</v>
      </c>
      <c r="F12" s="56" t="s">
        <v>619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s="10" customFormat="1" ht="20.100000000000001" hidden="1" customHeight="1" x14ac:dyDescent="0.3">
      <c r="A13" s="91" t="s">
        <v>0</v>
      </c>
      <c r="B13" s="93" t="s">
        <v>1</v>
      </c>
      <c r="C13" s="50" t="s">
        <v>838</v>
      </c>
      <c r="D13" s="51" t="s">
        <v>2</v>
      </c>
      <c r="E13" s="52" t="s">
        <v>3</v>
      </c>
      <c r="F13" s="53" t="s">
        <v>4</v>
      </c>
    </row>
    <row r="14" spans="1:25" ht="15" customHeight="1" x14ac:dyDescent="0.3">
      <c r="A14" s="91" t="str">
        <f t="shared" ref="A14" si="2">PROPER(TEXT(B14, "dddd"))</f>
        <v>Onsdag</v>
      </c>
      <c r="B14" s="93">
        <f t="shared" ref="B14" si="3">Onsdag6</f>
        <v>45693</v>
      </c>
      <c r="C14" s="46">
        <v>0.35416666666666669</v>
      </c>
      <c r="D14" s="54">
        <v>0.39583333333333331</v>
      </c>
      <c r="E14" s="55" t="s">
        <v>128</v>
      </c>
      <c r="F14" s="56" t="s">
        <v>467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0.375</v>
      </c>
      <c r="D15" s="54">
        <v>0.45833333333333331</v>
      </c>
      <c r="E15" s="55"/>
      <c r="F15" s="56" t="s">
        <v>752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0.41666666666666669</v>
      </c>
      <c r="D16" s="54">
        <v>0.5</v>
      </c>
      <c r="E16" s="55"/>
      <c r="F16" s="56" t="s">
        <v>657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0.55555555555555558</v>
      </c>
      <c r="D17" s="54">
        <v>0.63888888888888884</v>
      </c>
      <c r="E17" s="55"/>
      <c r="F17" s="56" t="s">
        <v>28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0.55555555555555558</v>
      </c>
      <c r="D18" s="54">
        <v>0.63888888888888884</v>
      </c>
      <c r="E18" s="55"/>
      <c r="F18" s="56" t="s">
        <v>791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0.70833333333333337</v>
      </c>
      <c r="D19" s="54">
        <v>0.83333333333333337</v>
      </c>
      <c r="E19" s="55"/>
      <c r="F19" s="56" t="s">
        <v>887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0.83333333333333337</v>
      </c>
      <c r="D20" s="54">
        <v>0.875</v>
      </c>
      <c r="E20" s="55" t="s">
        <v>98</v>
      </c>
      <c r="F20" s="56" t="s">
        <v>422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/>
      <c r="B21" s="93"/>
      <c r="C21" s="46">
        <v>0.83333333333333337</v>
      </c>
      <c r="D21" s="54">
        <v>0.875</v>
      </c>
      <c r="E21" s="55" t="s">
        <v>97</v>
      </c>
      <c r="F21" s="56" t="s">
        <v>342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hidden="1" customHeight="1" x14ac:dyDescent="0.3">
      <c r="A22" s="91" t="s">
        <v>0</v>
      </c>
      <c r="B22" s="93" t="s">
        <v>1</v>
      </c>
      <c r="C22" s="50" t="s">
        <v>838</v>
      </c>
      <c r="D22" s="51" t="s">
        <v>2</v>
      </c>
      <c r="E22" s="52" t="s">
        <v>3</v>
      </c>
      <c r="F22" s="53" t="s">
        <v>4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 t="str">
        <f t="shared" ref="A23" si="4">PROPER(TEXT(B23, "dddd"))</f>
        <v>Torsdag</v>
      </c>
      <c r="B23" s="93">
        <f t="shared" ref="B23" si="5">Torsdag6</f>
        <v>45694</v>
      </c>
      <c r="C23" s="46">
        <v>0.35416666666666669</v>
      </c>
      <c r="D23" s="54">
        <v>0.39583333333333331</v>
      </c>
      <c r="E23" s="55" t="s">
        <v>128</v>
      </c>
      <c r="F23" s="56" t="s">
        <v>467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0.375</v>
      </c>
      <c r="D24" s="54">
        <v>0.4375</v>
      </c>
      <c r="E24" s="55" t="s">
        <v>81</v>
      </c>
      <c r="F24" s="56" t="s">
        <v>521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/>
      <c r="B25" s="93"/>
      <c r="C25" s="46">
        <v>0.41666666666666669</v>
      </c>
      <c r="D25" s="54">
        <v>0.5</v>
      </c>
      <c r="E25" s="55"/>
      <c r="F25" s="56" t="s">
        <v>252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0.54166666666666663</v>
      </c>
      <c r="D26" s="54">
        <v>0.58333333333333337</v>
      </c>
      <c r="E26" s="55" t="s">
        <v>97</v>
      </c>
      <c r="F26" s="56" t="s">
        <v>543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/>
      <c r="B27" s="93"/>
      <c r="C27" s="46">
        <v>0.5625</v>
      </c>
      <c r="D27" s="54">
        <v>0.64583333333333337</v>
      </c>
      <c r="E27" s="55"/>
      <c r="F27" s="56" t="s">
        <v>230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0.60416666666666663</v>
      </c>
      <c r="D28" s="54">
        <v>0.64583333333333337</v>
      </c>
      <c r="E28" s="55" t="s">
        <v>97</v>
      </c>
      <c r="F28" s="56" t="s">
        <v>543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0.70833333333333337</v>
      </c>
      <c r="D29" s="54">
        <v>0.83333333333333337</v>
      </c>
      <c r="E29" s="55"/>
      <c r="F29" s="56" t="s">
        <v>887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s="10" customFormat="1" ht="15" customHeight="1" x14ac:dyDescent="0.3">
      <c r="A30" s="91"/>
      <c r="B30" s="93"/>
      <c r="C30" s="46">
        <v>0.83333333333333337</v>
      </c>
      <c r="D30" s="54">
        <v>0.90625</v>
      </c>
      <c r="E30" s="55" t="s">
        <v>103</v>
      </c>
      <c r="F30" s="56" t="s">
        <v>746</v>
      </c>
    </row>
    <row r="31" spans="1:24" ht="15" hidden="1" customHeight="1" x14ac:dyDescent="0.3">
      <c r="A31" s="91" t="s">
        <v>0</v>
      </c>
      <c r="B31" s="93" t="s">
        <v>1</v>
      </c>
      <c r="C31" s="50" t="s">
        <v>838</v>
      </c>
      <c r="D31" s="51" t="s">
        <v>2</v>
      </c>
      <c r="E31" s="52" t="s">
        <v>3</v>
      </c>
      <c r="F31" s="53" t="s">
        <v>4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91" t="str">
        <f t="shared" ref="A32" si="6">PROPER(TEXT(B32, "dddd"))</f>
        <v>Fredag</v>
      </c>
      <c r="B32" s="93">
        <f t="shared" ref="B32" si="7">Fredag6</f>
        <v>45695</v>
      </c>
      <c r="C32" s="46">
        <v>0.35416666666666669</v>
      </c>
      <c r="D32" s="54">
        <v>0.39583333333333331</v>
      </c>
      <c r="E32" s="55" t="s">
        <v>128</v>
      </c>
      <c r="F32" s="56" t="s">
        <v>467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91"/>
      <c r="B33" s="93"/>
      <c r="C33" s="46">
        <v>0.375</v>
      </c>
      <c r="D33" s="54">
        <v>0.4375</v>
      </c>
      <c r="E33" s="55" t="s">
        <v>57</v>
      </c>
      <c r="F33" s="56" t="s">
        <v>521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91"/>
      <c r="B34" s="93"/>
      <c r="C34" s="46">
        <v>0.39583333333333331</v>
      </c>
      <c r="D34" s="54">
        <v>0.54166666666666663</v>
      </c>
      <c r="E34" s="55" t="s">
        <v>107</v>
      </c>
      <c r="F34" s="56" t="s">
        <v>678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91"/>
      <c r="B35" s="93"/>
      <c r="C35" s="46">
        <v>0.41666666666666669</v>
      </c>
      <c r="D35" s="54">
        <v>0.5</v>
      </c>
      <c r="E35" s="55"/>
      <c r="F35" s="56" t="s">
        <v>643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91"/>
      <c r="B36" s="93"/>
      <c r="C36" s="46">
        <v>0.45833333333333331</v>
      </c>
      <c r="D36" s="54">
        <v>0.54166666666666663</v>
      </c>
      <c r="E36" s="55"/>
      <c r="F36" s="56" t="s">
        <v>815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s="10" customFormat="1" ht="15" customHeight="1" x14ac:dyDescent="0.3">
      <c r="A37" s="91"/>
      <c r="B37" s="93"/>
      <c r="C37" s="46">
        <v>0.61458333333333337</v>
      </c>
      <c r="D37" s="54">
        <v>0.65625</v>
      </c>
      <c r="E37" s="55"/>
      <c r="F37" s="56" t="s">
        <v>596</v>
      </c>
    </row>
    <row r="38" spans="1:24" ht="15" customHeight="1" x14ac:dyDescent="0.3">
      <c r="A38" s="91"/>
      <c r="B38" s="93"/>
      <c r="C38" s="46">
        <v>0.70833333333333337</v>
      </c>
      <c r="D38" s="54">
        <v>0.83333333333333337</v>
      </c>
      <c r="E38" s="55"/>
      <c r="F38" s="56" t="s">
        <v>887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hidden="1" customHeight="1" x14ac:dyDescent="0.3">
      <c r="A39" s="91" t="s">
        <v>0</v>
      </c>
      <c r="B39" s="93" t="s">
        <v>1</v>
      </c>
      <c r="C39" s="50" t="s">
        <v>838</v>
      </c>
      <c r="D39" s="51" t="s">
        <v>2</v>
      </c>
      <c r="E39" s="52" t="s">
        <v>3</v>
      </c>
      <c r="F39" s="53" t="s">
        <v>4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customHeight="1" x14ac:dyDescent="0.3">
      <c r="A40" s="91" t="str">
        <f>PROPER(TEXT(B40, "dddd"))</f>
        <v>Lördag</v>
      </c>
      <c r="B40" s="93">
        <f>Lördag6</f>
        <v>45696</v>
      </c>
      <c r="C40" s="46">
        <v>0.375</v>
      </c>
      <c r="D40" s="54">
        <v>0.625</v>
      </c>
      <c r="E40" s="55"/>
      <c r="F40" s="56" t="s">
        <v>887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1" spans="1:24" s="10" customFormat="1" ht="15" customHeight="1" x14ac:dyDescent="0.3">
      <c r="A41" s="91"/>
      <c r="B41" s="93"/>
      <c r="C41" s="46">
        <v>0.58333333333333337</v>
      </c>
      <c r="D41" s="54">
        <v>0.625</v>
      </c>
      <c r="E41" s="55" t="s">
        <v>99</v>
      </c>
      <c r="F41" s="56" t="s">
        <v>742</v>
      </c>
    </row>
    <row r="42" spans="1:24" ht="15" customHeight="1" x14ac:dyDescent="0.3">
      <c r="A42" s="91"/>
      <c r="B42" s="93"/>
      <c r="C42" s="46">
        <v>0.625</v>
      </c>
      <c r="D42" s="54">
        <v>0.66666666666666663</v>
      </c>
      <c r="E42" s="55"/>
      <c r="F42" s="56" t="s">
        <v>575</v>
      </c>
      <c r="G42"/>
      <c r="H42" s="1"/>
      <c r="I42" s="1"/>
      <c r="L42"/>
      <c r="M42"/>
      <c r="N42"/>
      <c r="O42"/>
      <c r="P42"/>
      <c r="Q42"/>
      <c r="R42"/>
      <c r="S42"/>
      <c r="T42"/>
      <c r="V42"/>
      <c r="W42"/>
      <c r="X42"/>
    </row>
    <row r="43" spans="1:24" ht="15" customHeight="1" x14ac:dyDescent="0.3">
      <c r="A43" s="91"/>
      <c r="B43" s="93"/>
      <c r="C43" s="46">
        <v>0.67708333333333337</v>
      </c>
      <c r="D43" s="54">
        <v>0.80208333333333337</v>
      </c>
      <c r="E43" s="55"/>
      <c r="F43" s="56" t="s">
        <v>168</v>
      </c>
      <c r="G43"/>
      <c r="H43" s="1"/>
      <c r="I43" s="1"/>
      <c r="L43"/>
      <c r="M43"/>
      <c r="N43"/>
      <c r="O43"/>
      <c r="P43"/>
      <c r="Q43"/>
      <c r="R43"/>
      <c r="S43"/>
      <c r="T43"/>
      <c r="V43"/>
      <c r="W43"/>
      <c r="X43"/>
    </row>
    <row r="44" spans="1:24" ht="15" hidden="1" customHeight="1" x14ac:dyDescent="0.3">
      <c r="A44" s="91" t="s">
        <v>0</v>
      </c>
      <c r="B44" s="93" t="s">
        <v>1</v>
      </c>
      <c r="C44" s="50" t="s">
        <v>838</v>
      </c>
      <c r="D44" s="51" t="s">
        <v>2</v>
      </c>
      <c r="E44" s="52" t="s">
        <v>3</v>
      </c>
      <c r="F44" s="53" t="s">
        <v>4</v>
      </c>
      <c r="G44"/>
      <c r="H44" s="1"/>
      <c r="I44" s="1"/>
      <c r="L44"/>
      <c r="M44"/>
      <c r="N44"/>
      <c r="O44"/>
      <c r="P44"/>
      <c r="Q44"/>
      <c r="R44"/>
      <c r="S44"/>
      <c r="T44"/>
      <c r="V44"/>
      <c r="W44"/>
      <c r="X44"/>
    </row>
    <row r="45" spans="1:24" ht="15" customHeight="1" x14ac:dyDescent="0.3">
      <c r="A45" s="91" t="str">
        <f>PROPER(TEXT(B45, "dddd"))</f>
        <v>Söndag</v>
      </c>
      <c r="B45" s="93">
        <f>Söndag6</f>
        <v>45697</v>
      </c>
      <c r="C45" s="46">
        <v>0.375</v>
      </c>
      <c r="D45" s="54">
        <v>0.79166666666666663</v>
      </c>
      <c r="E45" s="55"/>
      <c r="F45" s="56" t="s">
        <v>887</v>
      </c>
      <c r="G45"/>
      <c r="H45" s="1"/>
      <c r="I45" s="1"/>
      <c r="L45"/>
      <c r="M45"/>
      <c r="N45"/>
      <c r="O45"/>
      <c r="P45"/>
      <c r="Q45"/>
      <c r="R45"/>
      <c r="S45"/>
      <c r="T45"/>
      <c r="V45"/>
      <c r="W45"/>
      <c r="X45"/>
    </row>
    <row r="47" spans="1:24" ht="15" customHeight="1" x14ac:dyDescent="0.3">
      <c r="C47" s="46"/>
      <c r="D47" s="47"/>
    </row>
    <row r="48" spans="1:24" ht="15" customHeight="1" x14ac:dyDescent="0.3">
      <c r="C48" s="46"/>
      <c r="D48" s="8"/>
    </row>
    <row r="49" spans="3:4" ht="15" customHeight="1" x14ac:dyDescent="0.3">
      <c r="C49" s="46"/>
      <c r="D49" s="8"/>
    </row>
  </sheetData>
  <sheetProtection algorithmName="SHA-512" hashValue="v+x/cFHu0V1EN3aBThnirfzTbkLk1Z5JyvX6+KTYfYZ+fY9kWsVOVsuXu0F/T5AbhbiPoFrqhW5Ocq+5HEkGaA==" saltValue="m2M1biwRe1+94pCOEkMXPA==" spinCount="100000" sheet="1" objects="1" scenarios="1" autoFilter="0" pivotTables="0"/>
  <sortState xmlns:xlrd2="http://schemas.microsoft.com/office/spreadsheetml/2017/richdata2" ref="A32:F38">
    <sortCondition ref="C32:C38"/>
  </sortState>
  <conditionalFormatting sqref="A14:A18 A45 A29 A20 A3:A5 A8 A10 A22:A27 A31:A36 A39:A42">
    <cfRule type="expression" dxfId="3616" priority="4">
      <formula>OR(IF($A2="Dag",1))</formula>
    </cfRule>
  </conditionalFormatting>
  <conditionalFormatting sqref="A45:B45 A3:B6 A14:B21 A23:B30 A40:B43 A32:B38 A8:B12">
    <cfRule type="cellIs" dxfId="3615" priority="1" operator="equal">
      <formula>"Datum"</formula>
    </cfRule>
    <cfRule type="cellIs" dxfId="3614" priority="2" operator="equal">
      <formula>"Dag"</formula>
    </cfRule>
  </conditionalFormatting>
  <conditionalFormatting sqref="A13">
    <cfRule type="expression" dxfId="3613" priority="22">
      <formula>OR(IF(#REF!="Dag",1))</formula>
    </cfRule>
  </conditionalFormatting>
  <conditionalFormatting sqref="A11 A9">
    <cfRule type="expression" dxfId="3612" priority="147">
      <formula>OR(IF(#REF!="Dag",1))</formula>
    </cfRule>
  </conditionalFormatting>
  <conditionalFormatting sqref="A19 A28 A37">
    <cfRule type="expression" dxfId="3611" priority="164">
      <formula>OR(IF($A15="Dag",1))</formula>
    </cfRule>
  </conditionalFormatting>
  <conditionalFormatting sqref="A1:B2 A7:B7 A13:B13 A22:B22 A31:B31 A39:B39 A44:B44 A46:B1048576">
    <cfRule type="cellIs" dxfId="3610" priority="14" operator="equal">
      <formula>"Datum"</formula>
    </cfRule>
    <cfRule type="cellIs" dxfId="3609" priority="15" operator="equal">
      <formula>"Dag"</formula>
    </cfRule>
  </conditionalFormatting>
  <conditionalFormatting sqref="B29 B20 B3:B5 B45 B8 B10 B14:B18 B22:B27 B31:B36 B39:B42">
    <cfRule type="expression" dxfId="3608" priority="21">
      <formula>OR(IF($B2="Datum",1))</formula>
    </cfRule>
  </conditionalFormatting>
  <conditionalFormatting sqref="B11 B9 B13">
    <cfRule type="expression" dxfId="3607" priority="156">
      <formula>OR(IF(#REF!="Datum",1))</formula>
    </cfRule>
  </conditionalFormatting>
  <conditionalFormatting sqref="B19 B28 B37">
    <cfRule type="expression" dxfId="3606" priority="173">
      <formula>OR(IF($B15="Datum",1))</formula>
    </cfRule>
  </conditionalFormatting>
  <conditionalFormatting sqref="C3:E45">
    <cfRule type="expression" dxfId="3605" priority="18">
      <formula>OR(IF($E3="Hela hallen",1))</formula>
    </cfRule>
  </conditionalFormatting>
  <conditionalFormatting sqref="L1:T1048576">
    <cfRule type="cellIs" dxfId="3604" priority="13" operator="equal">
      <formula>"-"</formula>
    </cfRule>
  </conditionalFormatting>
  <conditionalFormatting sqref="A12 A6 A21 A30 A43 A38">
    <cfRule type="expression" dxfId="3603" priority="656">
      <formula>OR(IF(#REF!="Dag",1))</formula>
    </cfRule>
  </conditionalFormatting>
  <conditionalFormatting sqref="B12 B6 B21 B30 B43 B38">
    <cfRule type="expression" dxfId="3602" priority="666">
      <formula>OR(IF(#REF!="Datum",1))</formula>
    </cfRule>
  </conditionalFormatting>
  <conditionalFormatting sqref="A44">
    <cfRule type="expression" dxfId="3601" priority="785">
      <formula>OR(IF($A43="Dag",1))</formula>
    </cfRule>
  </conditionalFormatting>
  <conditionalFormatting sqref="B44">
    <cfRule type="expression" dxfId="3600" priority="786">
      <formula>OR(IF($B43="Datum",1))</formula>
    </cfRule>
  </conditionalFormatting>
  <conditionalFormatting sqref="C3:F45">
    <cfRule type="expression" dxfId="3599" priority="1894">
      <formula>OR(IF(#REF!=TRUE,1))</formula>
    </cfRule>
  </conditionalFormatting>
  <conditionalFormatting sqref="A7">
    <cfRule type="expression" dxfId="3598" priority="1895">
      <formula>OR(IF(#REF!="Dag",1))</formula>
    </cfRule>
  </conditionalFormatting>
  <conditionalFormatting sqref="B7">
    <cfRule type="expression" dxfId="3597" priority="1896">
      <formula>OR(IF(#REF!="Datum",1))</formula>
    </cfRule>
  </conditionalFormatting>
  <printOptions horizontalCentered="1" verticalCentered="1"/>
  <pageMargins left="0.25" right="0.25" top="0.75" bottom="0.75" header="0.3" footer="0.3"/>
  <pageSetup paperSize="8" scale="26" orientation="portrait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8210058-0E23-476A-BB05-FA1089EB3E97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A14:A18 A23:A27 A32:A36 A29:B29 A20:B20 A3:B5 A8:B8 A10:B10 A22:B22 A31:B31 A39:B42 A44:B45</xm:sqref>
        </x14:conditionalFormatting>
        <x14:conditionalFormatting xmlns:xm="http://schemas.microsoft.com/office/excel/2006/main">
          <x14:cfRule type="expression" priority="163" id="{A8210058-0E23-476A-BB05-FA1089EB3E97}">
            <xm:f>AND(IF(ISERROR(MATCH($B19,Kalenderår!$A$3:$A$17,0)),FALSE,TRUE), IF($B15="Datum",TRUE,FALSE), IF($A15="Dag",TRUE,FALSE))</xm:f>
            <x14:dxf>
              <font>
                <color rgb="FFC00000"/>
              </font>
            </x14:dxf>
          </x14:cfRule>
          <xm:sqref>A19 A28 A37</xm:sqref>
        </x14:conditionalFormatting>
        <x14:conditionalFormatting xmlns:xm="http://schemas.microsoft.com/office/excel/2006/main">
          <x14:cfRule type="expression" priority="17" id="{C56D60CE-C0B8-4EC9-8CC8-BEB400EF7C9E}">
            <xm:f>AND(IF(ISERROR(MATCH($B14,Kalenderår!$A$3:$A$17,0)),FALSE,TRUE), IF($B13="Datum",TRUE,FALSE), IF($A13="Dag",TRUE,FALSE))</xm:f>
            <x14:dxf>
              <font>
                <color rgb="FFC00000"/>
              </font>
            </x14:dxf>
          </x14:cfRule>
          <xm:sqref>B14:B18 B23:B27 B32:B36</xm:sqref>
        </x14:conditionalFormatting>
        <x14:conditionalFormatting xmlns:xm="http://schemas.microsoft.com/office/excel/2006/main">
          <x14:cfRule type="expression" priority="170" id="{C56D60CE-C0B8-4EC9-8CC8-BEB400EF7C9E}">
            <xm:f>AND(IF(ISERROR(MATCH($B19,Kalenderår!$A$3:$A$17,0)),FALSE,TRUE), IF($B15="Datum",TRUE,FALSE), IF($A15="Dag",TRUE,FALSE))</xm:f>
            <x14:dxf>
              <font>
                <color rgb="FFC00000"/>
              </font>
            </x14:dxf>
          </x14:cfRule>
          <xm:sqref>B19 B28 B37</xm:sqref>
        </x14:conditionalFormatting>
        <x14:conditionalFormatting xmlns:xm="http://schemas.microsoft.com/office/excel/2006/main">
          <x14:cfRule type="expression" priority="675" id="{A8210058-0E23-476A-BB05-FA1089EB3E97}">
            <xm:f>AND(IF(ISERROR(MATCH($B6,Kalenderår!$A$3:$A$17,0)),FALSE,TRUE),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A12:B12 A6:B6 A21:B21 A30:B30 A38:B38 A43:B43</xm:sqref>
        </x14:conditionalFormatting>
        <x14:conditionalFormatting xmlns:xm="http://schemas.microsoft.com/office/excel/2006/main">
          <x14:cfRule type="expression" priority="1903" id="{C56D60CE-C0B8-4EC9-8CC8-BEB400EF7C9E}">
            <xm:f>AND(IF(ISERROR(MATCH($B7,Kalenderår!$A$3:$A$17,0)),FALSE,TRUE), IF(#REF!="Datum",TRUE,FALSE), IF(#REF!="Dag",TRUE,FALSE))</xm:f>
            <x14:dxf>
              <font>
                <color rgb="FFC00000"/>
              </font>
            </x14:dxf>
          </x14:cfRule>
          <xm:sqref>A7:B7 A9:B9 A11:B11 A13:B13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911E0F-EB7D-421D-A5B6-7508644B18E6}">
          <x14:formula1>
            <xm:f>Listor!$A$2:$A$150</xm:f>
          </x14:formula1>
          <xm:sqref>E45 E3:E6 E14:E21 E23:E30 E40:E43 E32:E38 E8:E12</xm:sqref>
        </x14:dataValidation>
        <x14:dataValidation type="list" allowBlank="1" showInputMessage="1" showErrorMessage="1" xr:uid="{05950390-F61A-4367-9F56-8EAA1E5EA0A1}">
          <x14:formula1>
            <xm:f>Kontaktuppgifter!$A$2:$A$300</xm:f>
          </x14:formula1>
          <xm:sqref>F45 F3:F6 F14:F21 F23:F30 F40:F43 F32:F38 F8:F12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4CA9-3B2E-4585-BC84-F7A553D18ADB}">
  <sheetPr codeName="Blad8">
    <pageSetUpPr fitToPage="1"/>
  </sheetPr>
  <dimension ref="A1:Y49"/>
  <sheetViews>
    <sheetView showGridLines="0" zoomScaleNormal="100" workbookViewId="0">
      <pane ySplit="2" topLeftCell="A23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5546875" style="37" bestFit="1" customWidth="1"/>
    <col min="4" max="4" width="6.44140625" bestFit="1" customWidth="1"/>
    <col min="5" max="5" width="12" style="1" bestFit="1" customWidth="1"/>
    <col min="6" max="6" width="38" style="8" bestFit="1" customWidth="1"/>
    <col min="7" max="7" width="67.5546875" style="8" customWidth="1"/>
    <col min="8" max="8" width="12.44140625" style="38" bestFit="1" customWidth="1"/>
    <col min="9" max="9" width="16.109375" style="8" bestFit="1" customWidth="1"/>
    <col min="10" max="10" width="20.44140625" style="1" bestFit="1" customWidth="1"/>
    <col min="11" max="11" width="14.33203125" bestFit="1" customWidth="1"/>
    <col min="12" max="12" width="21" style="8" bestFit="1" customWidth="1"/>
    <col min="13" max="13" width="21.44140625" style="3" bestFit="1" customWidth="1"/>
    <col min="14" max="14" width="34.33203125" style="8" bestFit="1" customWidth="1"/>
    <col min="15" max="15" width="60.44140625" style="8" bestFit="1" customWidth="1"/>
    <col min="16" max="16" width="34.33203125" style="8" bestFit="1" customWidth="1"/>
    <col min="17" max="17" width="15.5546875" style="8" bestFit="1" customWidth="1"/>
    <col min="18" max="18" width="24.88671875" style="8" bestFit="1" customWidth="1"/>
    <col min="19" max="19" width="10.6640625" style="8" bestFit="1" customWidth="1"/>
    <col min="20" max="20" width="14" style="8" bestFit="1" customWidth="1"/>
    <col min="22" max="23" width="6.109375" style="1" bestFit="1" customWidth="1"/>
    <col min="24" max="24" width="4.109375" style="1" bestFit="1" customWidth="1"/>
    <col min="25" max="25" width="16.33203125" bestFit="1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Måndag7</f>
        <v>45698</v>
      </c>
      <c r="W1" s="39">
        <f>Söndag7</f>
        <v>45704</v>
      </c>
      <c r="X1" s="40">
        <f>WEEKNUM(Söndag7, 2)</f>
        <v>7</v>
      </c>
      <c r="Y1" s="41" t="str">
        <f>"V. "&amp;X1&amp;", "&amp;TEXT(V1,"D MMM")&amp;"-"&amp;TEXT(W1,"D MMM")</f>
        <v>V. 7, 10 feb-16 feb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>Måndag7</f>
        <v>45698</v>
      </c>
      <c r="C3" s="46">
        <v>0.625</v>
      </c>
      <c r="D3" s="47">
        <v>0.66666666666666663</v>
      </c>
      <c r="E3" s="48"/>
      <c r="F3" s="49" t="s">
        <v>596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0.70833333333333337</v>
      </c>
      <c r="D4" s="47">
        <v>0.83333333333333337</v>
      </c>
      <c r="E4" s="48"/>
      <c r="F4" s="49" t="s">
        <v>887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91"/>
      <c r="B5" s="92"/>
      <c r="C5" s="46">
        <v>0.83333333333333337</v>
      </c>
      <c r="D5" s="47">
        <v>0.875</v>
      </c>
      <c r="E5" s="48" t="s">
        <v>89</v>
      </c>
      <c r="F5" s="49" t="s">
        <v>294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2"/>
      <c r="C6" s="46">
        <v>0.83333333333333337</v>
      </c>
      <c r="D6" s="47">
        <v>0.875</v>
      </c>
      <c r="E6" s="48" t="s">
        <v>81</v>
      </c>
      <c r="F6" s="49" t="s">
        <v>375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91" t="s">
        <v>0</v>
      </c>
      <c r="B7" s="93" t="s">
        <v>1</v>
      </c>
      <c r="C7" s="50" t="s">
        <v>838</v>
      </c>
      <c r="D7" s="51" t="s">
        <v>2</v>
      </c>
      <c r="E7" s="52" t="s">
        <v>3</v>
      </c>
      <c r="F7" s="53" t="s">
        <v>4</v>
      </c>
    </row>
    <row r="8" spans="1:25" ht="15" customHeight="1" x14ac:dyDescent="0.3">
      <c r="A8" s="91" t="str">
        <f t="shared" ref="A8" si="0">PROPER(TEXT(B8, "dddd"))</f>
        <v>Tisdag</v>
      </c>
      <c r="B8" s="93">
        <f t="shared" ref="B8" si="1">Tisdag7</f>
        <v>45699</v>
      </c>
      <c r="C8" s="46">
        <v>0.33333333333333331</v>
      </c>
      <c r="D8" s="54">
        <v>0.39583333333333331</v>
      </c>
      <c r="E8" s="55"/>
      <c r="F8" s="56" t="s">
        <v>522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0.35416666666666669</v>
      </c>
      <c r="D9" s="54">
        <v>0.39583333333333331</v>
      </c>
      <c r="E9" s="55" t="s">
        <v>128</v>
      </c>
      <c r="F9" s="56" t="s">
        <v>467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0.375</v>
      </c>
      <c r="D10" s="54">
        <v>0.44791666666666669</v>
      </c>
      <c r="E10" s="55" t="s">
        <v>94</v>
      </c>
      <c r="F10" s="56" t="s">
        <v>521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0.5625</v>
      </c>
      <c r="D11" s="54">
        <v>0.64583333333333337</v>
      </c>
      <c r="E11" s="55"/>
      <c r="F11" s="56" t="s">
        <v>601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0.70833333333333337</v>
      </c>
      <c r="D12" s="54">
        <v>0.83333333333333337</v>
      </c>
      <c r="E12" s="55"/>
      <c r="F12" s="56" t="s">
        <v>887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0.83333333333333337</v>
      </c>
      <c r="D13" s="54">
        <v>0.875</v>
      </c>
      <c r="E13" s="55" t="s">
        <v>89</v>
      </c>
      <c r="F13" s="56" t="s">
        <v>619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</row>
    <row r="15" spans="1:25" ht="15" customHeight="1" x14ac:dyDescent="0.3">
      <c r="A15" s="91" t="str">
        <f t="shared" ref="A15" si="2">PROPER(TEXT(B15, "dddd"))</f>
        <v>Onsdag</v>
      </c>
      <c r="B15" s="93">
        <f t="shared" ref="B15" si="3">Onsdag7</f>
        <v>45700</v>
      </c>
      <c r="C15" s="46">
        <v>0.35416666666666669</v>
      </c>
      <c r="D15" s="54">
        <v>0.39583333333333331</v>
      </c>
      <c r="E15" s="55" t="s">
        <v>128</v>
      </c>
      <c r="F15" s="56" t="s">
        <v>467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0.375</v>
      </c>
      <c r="D16" s="54">
        <v>0.45833333333333331</v>
      </c>
      <c r="E16" s="55"/>
      <c r="F16" s="56" t="s">
        <v>752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0.41666666666666669</v>
      </c>
      <c r="D17" s="54">
        <v>0.5</v>
      </c>
      <c r="E17" s="55"/>
      <c r="F17" s="56" t="s">
        <v>657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0.55555555555555558</v>
      </c>
      <c r="D18" s="54">
        <v>0.63888888888888884</v>
      </c>
      <c r="E18" s="55"/>
      <c r="F18" s="56" t="s">
        <v>28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0.55555555555555558</v>
      </c>
      <c r="D19" s="54">
        <v>0.63888888888888884</v>
      </c>
      <c r="E19" s="55"/>
      <c r="F19" s="56" t="s">
        <v>791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0.70833333333333337</v>
      </c>
      <c r="D20" s="54">
        <v>0.83333333333333337</v>
      </c>
      <c r="E20" s="55"/>
      <c r="F20" s="56" t="s">
        <v>887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/>
      <c r="B21" s="93"/>
      <c r="C21" s="46">
        <v>0.83333333333333337</v>
      </c>
      <c r="D21" s="54">
        <v>0.875</v>
      </c>
      <c r="E21" s="55" t="s">
        <v>98</v>
      </c>
      <c r="F21" s="56" t="s">
        <v>422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0.83333333333333337</v>
      </c>
      <c r="D22" s="54">
        <v>0.875</v>
      </c>
      <c r="E22" s="55" t="s">
        <v>97</v>
      </c>
      <c r="F22" s="56" t="s">
        <v>342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s="10" customFormat="1" ht="20.100000000000001" hidden="1" customHeight="1" x14ac:dyDescent="0.3">
      <c r="A23" s="91" t="s">
        <v>0</v>
      </c>
      <c r="B23" s="93" t="s">
        <v>1</v>
      </c>
      <c r="C23" s="50" t="s">
        <v>838</v>
      </c>
      <c r="D23" s="51" t="s">
        <v>2</v>
      </c>
      <c r="E23" s="52" t="s">
        <v>3</v>
      </c>
      <c r="F23" s="53" t="s">
        <v>4</v>
      </c>
    </row>
    <row r="24" spans="1:24" ht="15" customHeight="1" x14ac:dyDescent="0.3">
      <c r="A24" s="91" t="str">
        <f t="shared" ref="A24" si="4">PROPER(TEXT(B24, "dddd"))</f>
        <v>Torsdag</v>
      </c>
      <c r="B24" s="93">
        <f t="shared" ref="B24" si="5">Torsdag7</f>
        <v>45701</v>
      </c>
      <c r="C24" s="46">
        <v>0.35416666666666669</v>
      </c>
      <c r="D24" s="54">
        <v>0.39583333333333331</v>
      </c>
      <c r="E24" s="55" t="s">
        <v>128</v>
      </c>
      <c r="F24" s="56" t="s">
        <v>467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/>
      <c r="B25" s="93"/>
      <c r="C25" s="46">
        <v>0.375</v>
      </c>
      <c r="D25" s="54">
        <v>0.4375</v>
      </c>
      <c r="E25" s="55" t="s">
        <v>81</v>
      </c>
      <c r="F25" s="56" t="s">
        <v>521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0.41666666666666669</v>
      </c>
      <c r="D26" s="54">
        <v>0.5</v>
      </c>
      <c r="E26" s="55"/>
      <c r="F26" s="56" t="s">
        <v>252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/>
      <c r="B27" s="93"/>
      <c r="C27" s="46">
        <v>0.54166666666666663</v>
      </c>
      <c r="D27" s="54">
        <v>0.58333333333333337</v>
      </c>
      <c r="E27" s="55" t="s">
        <v>97</v>
      </c>
      <c r="F27" s="56" t="s">
        <v>543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0.5625</v>
      </c>
      <c r="D28" s="54">
        <v>0.64583333333333337</v>
      </c>
      <c r="E28" s="55"/>
      <c r="F28" s="56" t="s">
        <v>230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0.60416666666666663</v>
      </c>
      <c r="D29" s="54">
        <v>0.64583333333333337</v>
      </c>
      <c r="E29" s="55" t="s">
        <v>97</v>
      </c>
      <c r="F29" s="56" t="s">
        <v>543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91"/>
      <c r="B30" s="93"/>
      <c r="C30" s="46">
        <v>0.625</v>
      </c>
      <c r="D30" s="54">
        <v>0.66666666666666663</v>
      </c>
      <c r="E30" s="55" t="s">
        <v>94</v>
      </c>
      <c r="F30" s="56" t="s">
        <v>461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91"/>
      <c r="B31" s="93"/>
      <c r="C31" s="46">
        <v>0.70833333333333337</v>
      </c>
      <c r="D31" s="54">
        <v>0.83333333333333337</v>
      </c>
      <c r="E31" s="55"/>
      <c r="F31" s="56" t="s">
        <v>887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91"/>
      <c r="B32" s="93"/>
      <c r="C32" s="46">
        <v>0.83333333333333337</v>
      </c>
      <c r="D32" s="54">
        <v>0.90625</v>
      </c>
      <c r="E32" s="55" t="s">
        <v>103</v>
      </c>
      <c r="F32" s="56" t="s">
        <v>746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hidden="1" customHeight="1" x14ac:dyDescent="0.3">
      <c r="A33" s="91" t="s">
        <v>0</v>
      </c>
      <c r="B33" s="93" t="s">
        <v>1</v>
      </c>
      <c r="C33" s="50" t="s">
        <v>838</v>
      </c>
      <c r="D33" s="51" t="s">
        <v>2</v>
      </c>
      <c r="E33" s="52" t="s">
        <v>3</v>
      </c>
      <c r="F33" s="53" t="s">
        <v>4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91" t="str">
        <f t="shared" ref="A34" si="6">PROPER(TEXT(B34, "dddd"))</f>
        <v>Fredag</v>
      </c>
      <c r="B34" s="93">
        <f t="shared" ref="B34" si="7">Fredag7</f>
        <v>45702</v>
      </c>
      <c r="C34" s="46">
        <v>0.35416666666666669</v>
      </c>
      <c r="D34" s="54">
        <v>0.39583333333333331</v>
      </c>
      <c r="E34" s="55" t="s">
        <v>128</v>
      </c>
      <c r="F34" s="56" t="s">
        <v>467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91"/>
      <c r="B35" s="93"/>
      <c r="C35" s="46">
        <v>0.375</v>
      </c>
      <c r="D35" s="54">
        <v>0.4375</v>
      </c>
      <c r="E35" s="55" t="s">
        <v>57</v>
      </c>
      <c r="F35" s="56" t="s">
        <v>521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91"/>
      <c r="B36" s="93"/>
      <c r="C36" s="46">
        <v>0.41666666666666669</v>
      </c>
      <c r="D36" s="54">
        <v>0.5</v>
      </c>
      <c r="E36" s="55"/>
      <c r="F36" s="56" t="s">
        <v>643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91"/>
      <c r="B37" s="93"/>
      <c r="C37" s="46">
        <v>0.45833333333333331</v>
      </c>
      <c r="D37" s="54">
        <v>0.54166666666666663</v>
      </c>
      <c r="E37" s="55"/>
      <c r="F37" s="56" t="s">
        <v>815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customHeight="1" x14ac:dyDescent="0.3">
      <c r="A38" s="91"/>
      <c r="B38" s="93"/>
      <c r="C38" s="46">
        <v>0.70833333333333337</v>
      </c>
      <c r="D38" s="54">
        <v>0.83333333333333337</v>
      </c>
      <c r="E38" s="55"/>
      <c r="F38" s="56" t="s">
        <v>887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hidden="1" customHeight="1" x14ac:dyDescent="0.3">
      <c r="A39" s="91" t="s">
        <v>0</v>
      </c>
      <c r="B39" s="93" t="s">
        <v>1</v>
      </c>
      <c r="C39" s="50" t="s">
        <v>838</v>
      </c>
      <c r="D39" s="51" t="s">
        <v>2</v>
      </c>
      <c r="E39" s="52" t="s">
        <v>3</v>
      </c>
      <c r="F39" s="53" t="s">
        <v>4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customHeight="1" x14ac:dyDescent="0.3">
      <c r="A40" s="91" t="str">
        <f t="shared" ref="A40" si="8">PROPER(TEXT(B40, "dddd"))</f>
        <v>Lördag</v>
      </c>
      <c r="B40" s="93">
        <f t="shared" ref="B40" si="9">Lördag7</f>
        <v>45703</v>
      </c>
      <c r="C40" s="46">
        <v>0.39583333333333331</v>
      </c>
      <c r="D40" s="54">
        <v>0.54166666666666663</v>
      </c>
      <c r="E40" s="55"/>
      <c r="F40" s="56" t="s">
        <v>700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1" spans="1:24" ht="15" customHeight="1" x14ac:dyDescent="0.3">
      <c r="A41" s="91"/>
      <c r="B41" s="93"/>
      <c r="C41" s="46">
        <v>0.58333333333333337</v>
      </c>
      <c r="D41" s="54">
        <v>0.625</v>
      </c>
      <c r="E41" s="55" t="s">
        <v>99</v>
      </c>
      <c r="F41" s="56" t="s">
        <v>742</v>
      </c>
      <c r="G41"/>
      <c r="H41" s="1"/>
      <c r="I41" s="1"/>
      <c r="L41"/>
      <c r="M41"/>
      <c r="N41"/>
      <c r="O41"/>
      <c r="P41"/>
      <c r="Q41"/>
      <c r="R41"/>
      <c r="S41"/>
      <c r="T41"/>
      <c r="V41"/>
      <c r="W41"/>
      <c r="X41"/>
    </row>
    <row r="42" spans="1:24" ht="15" customHeight="1" x14ac:dyDescent="0.3">
      <c r="A42" s="91"/>
      <c r="B42" s="93"/>
      <c r="C42" s="46">
        <v>0.625</v>
      </c>
      <c r="D42" s="54">
        <v>0.66666666666666663</v>
      </c>
      <c r="E42" s="55"/>
      <c r="F42" s="56" t="s">
        <v>575</v>
      </c>
      <c r="G42"/>
      <c r="H42" s="1"/>
      <c r="I42" s="1"/>
      <c r="L42"/>
      <c r="M42"/>
      <c r="N42"/>
      <c r="O42"/>
      <c r="P42"/>
      <c r="Q42"/>
      <c r="R42"/>
      <c r="S42"/>
      <c r="T42"/>
      <c r="V42"/>
      <c r="W42"/>
      <c r="X42"/>
    </row>
    <row r="43" spans="1:24" s="10" customFormat="1" ht="15" customHeight="1" x14ac:dyDescent="0.3">
      <c r="A43" s="91"/>
      <c r="B43" s="93"/>
      <c r="C43" s="46">
        <v>0.66666666666666663</v>
      </c>
      <c r="D43" s="54">
        <v>0.75</v>
      </c>
      <c r="E43" s="55" t="s">
        <v>128</v>
      </c>
      <c r="F43" s="56" t="s">
        <v>204</v>
      </c>
    </row>
    <row r="44" spans="1:24" ht="15" hidden="1" customHeight="1" x14ac:dyDescent="0.3">
      <c r="A44" s="91" t="s">
        <v>0</v>
      </c>
      <c r="B44" s="93" t="s">
        <v>1</v>
      </c>
      <c r="C44" s="50" t="s">
        <v>838</v>
      </c>
      <c r="D44" s="51" t="s">
        <v>2</v>
      </c>
      <c r="E44" s="52" t="s">
        <v>3</v>
      </c>
      <c r="F44" s="53" t="s">
        <v>4</v>
      </c>
      <c r="G44"/>
      <c r="H44" s="1"/>
      <c r="I44" s="1"/>
      <c r="L44"/>
      <c r="M44"/>
      <c r="N44"/>
      <c r="O44"/>
      <c r="P44"/>
      <c r="Q44"/>
      <c r="R44"/>
      <c r="S44"/>
      <c r="T44"/>
      <c r="V44"/>
      <c r="W44"/>
      <c r="X44"/>
    </row>
    <row r="45" spans="1:24" ht="15" customHeight="1" x14ac:dyDescent="0.3">
      <c r="A45" s="91" t="str">
        <f>PROPER(TEXT(B45, "dddd"))</f>
        <v>Söndag</v>
      </c>
      <c r="B45" s="93">
        <f>Söndag7</f>
        <v>45704</v>
      </c>
      <c r="C45" s="46">
        <v>0.375</v>
      </c>
      <c r="D45" s="54">
        <v>0.79166666666666663</v>
      </c>
      <c r="E45" s="55"/>
      <c r="F45" s="56" t="s">
        <v>887</v>
      </c>
      <c r="G45"/>
      <c r="H45" s="1"/>
      <c r="I45" s="1"/>
      <c r="L45"/>
      <c r="M45"/>
      <c r="N45"/>
      <c r="O45"/>
      <c r="P45"/>
      <c r="Q45"/>
      <c r="R45"/>
      <c r="S45"/>
      <c r="T45"/>
      <c r="V45"/>
      <c r="W45"/>
      <c r="X45"/>
    </row>
    <row r="47" spans="1:24" ht="15" customHeight="1" x14ac:dyDescent="0.3">
      <c r="C47" s="46"/>
      <c r="D47" s="47"/>
    </row>
    <row r="48" spans="1:24" ht="15" customHeight="1" x14ac:dyDescent="0.3">
      <c r="C48" s="46"/>
      <c r="D48" s="8"/>
    </row>
    <row r="49" spans="3:4" ht="15" customHeight="1" x14ac:dyDescent="0.3">
      <c r="C49" s="46"/>
      <c r="D49" s="8"/>
    </row>
  </sheetData>
  <sheetProtection algorithmName="SHA-512" hashValue="Yg/9a/j5UQFadXjRylAYpU6iZgbh9NNGVt+3Z/XkeG5+yZuYPgVwFkCVWKP7/8I4R49tJiYy3m1tahHzFi5zdQ==" saltValue="XlIEZmVgusWqobWtNervWQ==" spinCount="100000" sheet="1" objects="1" scenarios="1" autoFilter="0" pivotTables="0"/>
  <sortState xmlns:xlrd2="http://schemas.microsoft.com/office/spreadsheetml/2017/richdata2" ref="A34:F38">
    <sortCondition ref="C34:C38"/>
  </sortState>
  <conditionalFormatting sqref="A8:A12 A15:A19 A21:A22 A24:A28 A34:A37 A40:A43 A30:A31 A3:A5 A45">
    <cfRule type="expression" dxfId="3534" priority="4">
      <formula>OR(IF($A2="Dag",1))</formula>
    </cfRule>
  </conditionalFormatting>
  <conditionalFormatting sqref="A15:A22 A40:A43 A3:B6 A8:B13 A45:B45 A24:B32 A34:B38">
    <cfRule type="cellIs" dxfId="3533" priority="1" operator="equal">
      <formula>"Datum"</formula>
    </cfRule>
    <cfRule type="cellIs" dxfId="3532" priority="2" operator="equal">
      <formula>"Dag"</formula>
    </cfRule>
  </conditionalFormatting>
  <conditionalFormatting sqref="A44">
    <cfRule type="expression" dxfId="3531" priority="22">
      <formula>OR(IF(#REF!="Dag",1))</formula>
    </cfRule>
  </conditionalFormatting>
  <conditionalFormatting sqref="A20 A29">
    <cfRule type="expression" dxfId="3530" priority="181">
      <formula>OR(IF($A16="Dag",1))</formula>
    </cfRule>
  </conditionalFormatting>
  <conditionalFormatting sqref="A1:B2 A7:B7 A14:B14 B15:B22 A23:B23 A33:B33 A39:B39 B40:B43 A44:B44 A46:B1048576">
    <cfRule type="cellIs" dxfId="3529" priority="14" operator="equal">
      <formula>"Datum"</formula>
    </cfRule>
    <cfRule type="cellIs" dxfId="3528" priority="15" operator="equal">
      <formula>"Dag"</formula>
    </cfRule>
  </conditionalFormatting>
  <conditionalFormatting sqref="B30:B31 B34:B37 B3:B5 B8:B12 B15:B19 B21:B22 B24:B28 B40:B43 B45">
    <cfRule type="expression" dxfId="3527" priority="21">
      <formula>OR(IF($B2="Datum",1))</formula>
    </cfRule>
  </conditionalFormatting>
  <conditionalFormatting sqref="B20 B29">
    <cfRule type="expression" dxfId="3526" priority="190">
      <formula>OR(IF($B16="Datum",1))</formula>
    </cfRule>
  </conditionalFormatting>
  <conditionalFormatting sqref="C3:E45">
    <cfRule type="expression" dxfId="3525" priority="18">
      <formula>OR(IF($E3="Hela hallen",1))</formula>
    </cfRule>
  </conditionalFormatting>
  <conditionalFormatting sqref="L1:T1048576">
    <cfRule type="cellIs" dxfId="3524" priority="13" operator="equal">
      <formula>"-"</formula>
    </cfRule>
  </conditionalFormatting>
  <conditionalFormatting sqref="A32">
    <cfRule type="expression" dxfId="3523" priority="580">
      <formula>OR(IF(#REF!="Dag",1))</formula>
    </cfRule>
  </conditionalFormatting>
  <conditionalFormatting sqref="B32">
    <cfRule type="expression" dxfId="3522" priority="590">
      <formula>OR(IF(#REF!="Datum",1))</formula>
    </cfRule>
  </conditionalFormatting>
  <conditionalFormatting sqref="A33">
    <cfRule type="expression" dxfId="3521" priority="613">
      <formula>OR(IF(#REF!="Dag",1))</formula>
    </cfRule>
  </conditionalFormatting>
  <conditionalFormatting sqref="B33">
    <cfRule type="expression" dxfId="3520" priority="614">
      <formula>OR(IF(#REF!="Datum",1))</formula>
    </cfRule>
  </conditionalFormatting>
  <conditionalFormatting sqref="A6 A13 A38">
    <cfRule type="expression" dxfId="3519" priority="677">
      <formula>OR(IF(#REF!="Dag",1))</formula>
    </cfRule>
  </conditionalFormatting>
  <conditionalFormatting sqref="B6 B13 B38">
    <cfRule type="expression" dxfId="3518" priority="687">
      <formula>OR(IF(#REF!="Datum",1))</formula>
    </cfRule>
  </conditionalFormatting>
  <conditionalFormatting sqref="C3:F45">
    <cfRule type="expression" dxfId="3517" priority="1905">
      <formula>OR(IF(#REF!=TRUE,1))</formula>
    </cfRule>
  </conditionalFormatting>
  <conditionalFormatting sqref="A7 A14 A23 A39">
    <cfRule type="expression" dxfId="3516" priority="1906">
      <formula>OR(IF(#REF!="Dag",1))</formula>
    </cfRule>
  </conditionalFormatting>
  <conditionalFormatting sqref="B7 B14 B23 B39 B44">
    <cfRule type="expression" dxfId="3515" priority="1907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8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138F59D-02A4-469C-B509-DBC0956A2190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A8:A12 A15:A19 A24:A28 A30:B31 A3:B5 A45:B45 A21:B22 A34:B37 A40:B43</xm:sqref>
        </x14:conditionalFormatting>
        <x14:conditionalFormatting xmlns:xm="http://schemas.microsoft.com/office/excel/2006/main">
          <x14:cfRule type="expression" priority="180" id="{0138F59D-02A4-469C-B509-DBC0956A2190}">
            <xm:f>AND(IF(ISERROR(MATCH($B20,Kalenderår!$A$3:$A$17,0)),FALSE,TRUE), IF($B16="Datum",TRUE,FALSE), IF($A16="Dag",TRUE,FALSE))</xm:f>
            <x14:dxf>
              <font>
                <color rgb="FFC00000"/>
              </font>
            </x14:dxf>
          </x14:cfRule>
          <xm:sqref>A20 A29</xm:sqref>
        </x14:conditionalFormatting>
        <x14:conditionalFormatting xmlns:xm="http://schemas.microsoft.com/office/excel/2006/main">
          <x14:cfRule type="expression" priority="17" id="{B0793010-0B13-44C2-9479-7AE59B78DE26}">
            <xm:f>AND(IF(ISERROR(MATCH($B8,Kalenderår!$A$3:$A$17,0)),FALSE,TRUE), IF($B7="Datum",TRUE,FALSE), IF($A7="Dag",TRUE,FALSE))</xm:f>
            <x14:dxf>
              <font>
                <color rgb="FFC00000"/>
              </font>
            </x14:dxf>
          </x14:cfRule>
          <xm:sqref>B8:B12 B15:B19 B24:B28</xm:sqref>
        </x14:conditionalFormatting>
        <x14:conditionalFormatting xmlns:xm="http://schemas.microsoft.com/office/excel/2006/main">
          <x14:cfRule type="expression" priority="187" id="{B0793010-0B13-44C2-9479-7AE59B78DE26}">
            <xm:f>AND(IF(ISERROR(MATCH($B20,Kalenderår!$A$3:$A$17,0)),FALSE,TRUE), IF($B16="Datum",TRUE,FALSE), IF($A16="Dag",TRUE,FALSE))</xm:f>
            <x14:dxf>
              <font>
                <color rgb="FFC00000"/>
              </font>
            </x14:dxf>
          </x14:cfRule>
          <xm:sqref>B20 B29</xm:sqref>
        </x14:conditionalFormatting>
        <x14:conditionalFormatting xmlns:xm="http://schemas.microsoft.com/office/excel/2006/main">
          <x14:cfRule type="expression" priority="599" id="{0138F59D-02A4-469C-B509-DBC0956A2190}">
            <xm:f>AND(IF(ISERROR(MATCH($B32,Kalenderår!$A$3:$A$17,0)),FALSE,TRUE), IF(#REF!="Datum",TRUE,FALSE), IF(#REF!="Dag",TRUE,FALSE))</xm:f>
            <x14:dxf>
              <font>
                <color rgb="FFC00000"/>
              </font>
            </x14:dxf>
          </x14:cfRule>
          <xm:sqref>A32:B32</xm:sqref>
        </x14:conditionalFormatting>
        <x14:conditionalFormatting xmlns:xm="http://schemas.microsoft.com/office/excel/2006/main">
          <x14:cfRule type="expression" priority="616" id="{0138F59D-02A4-469C-B509-DBC0956A2190}">
            <xm:f>AND(IF(ISERROR(MATCH($B33,Kalenderår!$A$3:$A$17,0)),FALSE,TRUE), IF(#REF!="Datum",TRUE,FALSE), IF(#REF!="Dag",TRUE,FALSE))</xm:f>
            <x14:dxf>
              <font>
                <color rgb="FFC00000"/>
              </font>
            </x14:dxf>
          </x14:cfRule>
          <xm:sqref>A33:B33</xm:sqref>
        </x14:conditionalFormatting>
        <x14:conditionalFormatting xmlns:xm="http://schemas.microsoft.com/office/excel/2006/main">
          <x14:cfRule type="expression" priority="696" id="{0138F59D-02A4-469C-B509-DBC0956A2190}">
            <xm:f>AND(IF(ISERROR(MATCH($B6,Kalenderår!$A$3:$A$17,0)),FALSE,TRUE), IF(#REF!="Datum",TRUE,FALSE), IF(#REF!="Dag",TRUE,FALSE))</xm:f>
            <x14:dxf>
              <font>
                <color rgb="FFC00000"/>
              </font>
            </x14:dxf>
          </x14:cfRule>
          <xm:sqref>A6:B6 A13:B13 A38:B38</xm:sqref>
        </x14:conditionalFormatting>
        <x14:conditionalFormatting xmlns:xm="http://schemas.microsoft.com/office/excel/2006/main">
          <x14:cfRule type="expression" priority="1914" id="{B0793010-0B13-44C2-9479-7AE59B78DE26}">
            <xm:f>AND(IF(ISERROR(MATCH($B7,Kalenderår!$A$3:$A$17,0)),FALSE,TRUE), IF(#REF!="Datum",TRUE,FALSE), IF(#REF!="Dag",TRUE,FALSE))</xm:f>
            <x14:dxf>
              <font>
                <color rgb="FFC00000"/>
              </font>
            </x14:dxf>
          </x14:cfRule>
          <xm:sqref>A7:B7 A14:B14 A23:B23 A39:B39 A44:B44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6F65F1-6AA0-44C7-8EC5-3442E6A59E66}">
          <x14:formula1>
            <xm:f>Kontaktuppgifter!$A$2:$A$300</xm:f>
          </x14:formula1>
          <xm:sqref>F15:F22 F40:F43 F3:F6 F8:F13 F45 F24:F32 F34:F38</xm:sqref>
        </x14:dataValidation>
        <x14:dataValidation type="list" allowBlank="1" showInputMessage="1" showErrorMessage="1" xr:uid="{CA9F1A81-FD9B-463B-8160-50729AE321A0}">
          <x14:formula1>
            <xm:f>Listor!$A$2:$A$150</xm:f>
          </x14:formula1>
          <xm:sqref>E15:E22 E40:E43 E3:E6 E8:E13 E45 E24:E32 E34:E38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CE03-C9F3-49BA-A37D-4CD461FA5674}">
  <sheetPr codeName="Blad9">
    <pageSetUpPr fitToPage="1"/>
  </sheetPr>
  <dimension ref="A1:Y47"/>
  <sheetViews>
    <sheetView showGridLines="0" zoomScaleNormal="100" workbookViewId="0">
      <pane ySplit="2" topLeftCell="A29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Måndag8</f>
        <v>45705</v>
      </c>
      <c r="W1" s="39">
        <f>Söndag8</f>
        <v>45711</v>
      </c>
      <c r="X1" s="40">
        <f>WEEKNUM(Söndag8, 2)</f>
        <v>8</v>
      </c>
      <c r="Y1" s="41" t="str">
        <f>"V. "&amp;X1&amp;", "&amp;TEXT(V1,"D MMM")&amp;"-"&amp;TEXT(W1,"D MMM")</f>
        <v>V. 8, 17 feb-23 feb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Måndag8</f>
        <v>45705</v>
      </c>
      <c r="C3" s="46">
        <v>0.35416666666666669</v>
      </c>
      <c r="D3" s="47">
        <v>0.4513888888888889</v>
      </c>
      <c r="E3" s="48" t="s">
        <v>66</v>
      </c>
      <c r="F3" s="49" t="s">
        <v>447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0.625</v>
      </c>
      <c r="D4" s="47">
        <v>0.66666666666666663</v>
      </c>
      <c r="E4" s="48"/>
      <c r="F4" s="49" t="s">
        <v>596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91"/>
      <c r="B5" s="92"/>
      <c r="C5" s="46">
        <v>0.70833333333333337</v>
      </c>
      <c r="D5" s="47">
        <v>0.83333333333333337</v>
      </c>
      <c r="E5" s="48"/>
      <c r="F5" s="49" t="s">
        <v>887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2"/>
      <c r="C6" s="46">
        <v>0.83333333333333337</v>
      </c>
      <c r="D6" s="47">
        <v>0.875</v>
      </c>
      <c r="E6" s="48" t="s">
        <v>89</v>
      </c>
      <c r="F6" s="49" t="s">
        <v>294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2"/>
      <c r="C7" s="46">
        <v>0.83333333333333337</v>
      </c>
      <c r="D7" s="47">
        <v>0.875</v>
      </c>
      <c r="E7" s="48" t="s">
        <v>98</v>
      </c>
      <c r="F7" s="49" t="s">
        <v>375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 t="str">
        <f t="shared" ref="A9" si="2">PROPER(TEXT(B9, "dddd"))</f>
        <v>Tisdag</v>
      </c>
      <c r="B9" s="93">
        <f t="shared" ref="B9" si="3">Tisdag8</f>
        <v>45706</v>
      </c>
      <c r="C9" s="46">
        <v>0.33333333333333331</v>
      </c>
      <c r="D9" s="54">
        <v>0.39583333333333331</v>
      </c>
      <c r="E9" s="55"/>
      <c r="F9" s="56" t="s">
        <v>522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0.35416666666666669</v>
      </c>
      <c r="D10" s="54">
        <v>0.4513888888888889</v>
      </c>
      <c r="E10" s="55" t="s">
        <v>66</v>
      </c>
      <c r="F10" s="56" t="s">
        <v>447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0.375</v>
      </c>
      <c r="D11" s="54">
        <v>0.44791666666666669</v>
      </c>
      <c r="E11" s="55" t="s">
        <v>94</v>
      </c>
      <c r="F11" s="56" t="s">
        <v>521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0.5625</v>
      </c>
      <c r="D12" s="54">
        <v>0.64583333333333337</v>
      </c>
      <c r="E12" s="55"/>
      <c r="F12" s="56" t="s">
        <v>601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0.70833333333333337</v>
      </c>
      <c r="D13" s="54">
        <v>0.83333333333333337</v>
      </c>
      <c r="E13" s="55"/>
      <c r="F13" s="56" t="s">
        <v>887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15" customHeight="1" x14ac:dyDescent="0.3">
      <c r="A14" s="91"/>
      <c r="B14" s="93"/>
      <c r="C14" s="46">
        <v>0.83333333333333337</v>
      </c>
      <c r="D14" s="54">
        <v>0.875</v>
      </c>
      <c r="E14" s="55" t="s">
        <v>89</v>
      </c>
      <c r="F14" s="56" t="s">
        <v>619</v>
      </c>
    </row>
    <row r="15" spans="1:25" ht="15" hidden="1" customHeight="1" x14ac:dyDescent="0.3">
      <c r="A15" s="91" t="s">
        <v>0</v>
      </c>
      <c r="B15" s="93" t="s">
        <v>1</v>
      </c>
      <c r="C15" s="50" t="s">
        <v>838</v>
      </c>
      <c r="D15" s="51" t="s">
        <v>2</v>
      </c>
      <c r="E15" s="52" t="s">
        <v>3</v>
      </c>
      <c r="F15" s="53" t="s">
        <v>4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 t="str">
        <f t="shared" ref="A16" si="4">PROPER(TEXT(B16, "dddd"))</f>
        <v>Onsdag</v>
      </c>
      <c r="B16" s="93">
        <f t="shared" ref="B16" si="5">Onsdag8</f>
        <v>45707</v>
      </c>
      <c r="C16" s="46">
        <v>0.375</v>
      </c>
      <c r="D16" s="54">
        <v>0.45833333333333331</v>
      </c>
      <c r="E16" s="55"/>
      <c r="F16" s="56" t="s">
        <v>752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0.41666666666666669</v>
      </c>
      <c r="D17" s="54">
        <v>0.5</v>
      </c>
      <c r="E17" s="55"/>
      <c r="F17" s="56" t="s">
        <v>657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0.55555555555555558</v>
      </c>
      <c r="D18" s="54">
        <v>0.63888888888888884</v>
      </c>
      <c r="E18" s="55"/>
      <c r="F18" s="56" t="s">
        <v>28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0.55555555555555558</v>
      </c>
      <c r="D19" s="54">
        <v>0.63888888888888884</v>
      </c>
      <c r="E19" s="55"/>
      <c r="F19" s="56" t="s">
        <v>791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0.70833333333333337</v>
      </c>
      <c r="D20" s="54">
        <v>0.83333333333333337</v>
      </c>
      <c r="E20" s="55"/>
      <c r="F20" s="56" t="s">
        <v>887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s="10" customFormat="1" ht="15" customHeight="1" x14ac:dyDescent="0.3">
      <c r="A21" s="91"/>
      <c r="B21" s="93"/>
      <c r="C21" s="46">
        <v>0.83333333333333337</v>
      </c>
      <c r="D21" s="54">
        <v>0.875</v>
      </c>
      <c r="E21" s="55" t="s">
        <v>98</v>
      </c>
      <c r="F21" s="56" t="s">
        <v>422</v>
      </c>
    </row>
    <row r="22" spans="1:24" ht="15" customHeight="1" x14ac:dyDescent="0.3">
      <c r="A22" s="91"/>
      <c r="B22" s="93"/>
      <c r="C22" s="46">
        <v>0.83333333333333337</v>
      </c>
      <c r="D22" s="54">
        <v>0.875</v>
      </c>
      <c r="E22" s="55" t="s">
        <v>97</v>
      </c>
      <c r="F22" s="56" t="s">
        <v>342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hidden="1" customHeight="1" x14ac:dyDescent="0.3">
      <c r="A23" s="91" t="s">
        <v>0</v>
      </c>
      <c r="B23" s="93" t="s">
        <v>1</v>
      </c>
      <c r="C23" s="50" t="s">
        <v>838</v>
      </c>
      <c r="D23" s="51" t="s">
        <v>2</v>
      </c>
      <c r="E23" s="52" t="s">
        <v>3</v>
      </c>
      <c r="F23" s="53" t="s">
        <v>4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 t="str">
        <f t="shared" ref="A24" si="6">PROPER(TEXT(B24, "dddd"))</f>
        <v>Torsdag</v>
      </c>
      <c r="B24" s="93">
        <f t="shared" ref="B24" si="7">Torsdag8</f>
        <v>45708</v>
      </c>
      <c r="C24" s="46">
        <v>0.375</v>
      </c>
      <c r="D24" s="54">
        <v>0.4375</v>
      </c>
      <c r="E24" s="55" t="s">
        <v>81</v>
      </c>
      <c r="F24" s="56" t="s">
        <v>521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/>
      <c r="B25" s="93"/>
      <c r="C25" s="46">
        <v>0.41666666666666669</v>
      </c>
      <c r="D25" s="54">
        <v>0.5</v>
      </c>
      <c r="E25" s="55"/>
      <c r="F25" s="56" t="s">
        <v>252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0.41666666666666669</v>
      </c>
      <c r="D26" s="54">
        <v>0.5</v>
      </c>
      <c r="E26" s="55" t="s">
        <v>96</v>
      </c>
      <c r="F26" s="56" t="s">
        <v>833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s="10" customFormat="1" ht="15" customHeight="1" x14ac:dyDescent="0.3">
      <c r="A27" s="91"/>
      <c r="B27" s="93"/>
      <c r="C27" s="46">
        <v>0.5625</v>
      </c>
      <c r="D27" s="54">
        <v>0.64583333333333337</v>
      </c>
      <c r="E27" s="55"/>
      <c r="F27" s="56" t="s">
        <v>230</v>
      </c>
    </row>
    <row r="28" spans="1:24" ht="15" customHeight="1" x14ac:dyDescent="0.3">
      <c r="A28" s="91"/>
      <c r="B28" s="93"/>
      <c r="C28" s="46">
        <v>0.70833333333333337</v>
      </c>
      <c r="D28" s="54">
        <v>0.83333333333333337</v>
      </c>
      <c r="E28" s="55"/>
      <c r="F28" s="56" t="s">
        <v>887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0.83333333333333337</v>
      </c>
      <c r="D29" s="54">
        <v>0.90625</v>
      </c>
      <c r="E29" s="55" t="s">
        <v>103</v>
      </c>
      <c r="F29" s="56" t="s">
        <v>746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hidden="1" customHeight="1" x14ac:dyDescent="0.3">
      <c r="A30" s="91" t="s">
        <v>0</v>
      </c>
      <c r="B30" s="93" t="s">
        <v>1</v>
      </c>
      <c r="C30" s="50" t="s">
        <v>838</v>
      </c>
      <c r="D30" s="51" t="s">
        <v>2</v>
      </c>
      <c r="E30" s="52" t="s">
        <v>3</v>
      </c>
      <c r="F30" s="53" t="s">
        <v>4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s="10" customFormat="1" ht="15" customHeight="1" x14ac:dyDescent="0.3">
      <c r="A31" s="91" t="str">
        <f t="shared" ref="A31" si="8">PROPER(TEXT(B31, "dddd"))</f>
        <v>Fredag</v>
      </c>
      <c r="B31" s="93">
        <f t="shared" ref="B31" si="9">Fredag8</f>
        <v>45709</v>
      </c>
      <c r="C31" s="46">
        <v>0.375</v>
      </c>
      <c r="D31" s="54">
        <v>0.4375</v>
      </c>
      <c r="E31" s="55" t="s">
        <v>57</v>
      </c>
      <c r="F31" s="56" t="s">
        <v>521</v>
      </c>
    </row>
    <row r="32" spans="1:24" ht="15" customHeight="1" x14ac:dyDescent="0.3">
      <c r="A32" s="91"/>
      <c r="B32" s="93"/>
      <c r="C32" s="46">
        <v>0.41666666666666669</v>
      </c>
      <c r="D32" s="54">
        <v>0.5</v>
      </c>
      <c r="E32" s="55"/>
      <c r="F32" s="56" t="s">
        <v>643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91"/>
      <c r="B33" s="93"/>
      <c r="C33" s="46">
        <v>0.45833333333333331</v>
      </c>
      <c r="D33" s="54">
        <v>0.54166666666666663</v>
      </c>
      <c r="E33" s="55"/>
      <c r="F33" s="56" t="s">
        <v>815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91"/>
      <c r="B34" s="93"/>
      <c r="C34" s="46">
        <v>0.5</v>
      </c>
      <c r="D34" s="54">
        <v>0.5625</v>
      </c>
      <c r="E34" s="55">
        <v>2</v>
      </c>
      <c r="F34" s="56" t="s">
        <v>570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s="10" customFormat="1" ht="15" customHeight="1" x14ac:dyDescent="0.3">
      <c r="A35" s="91"/>
      <c r="B35" s="93"/>
      <c r="C35" s="46">
        <v>0.70833333333333337</v>
      </c>
      <c r="D35" s="54">
        <v>0.83333333333333337</v>
      </c>
      <c r="E35" s="55"/>
      <c r="F35" s="56" t="s">
        <v>887</v>
      </c>
    </row>
    <row r="36" spans="1:24" ht="15" hidden="1" customHeight="1" x14ac:dyDescent="0.3">
      <c r="A36" s="91" t="s">
        <v>0</v>
      </c>
      <c r="B36" s="93" t="s">
        <v>1</v>
      </c>
      <c r="C36" s="50" t="s">
        <v>838</v>
      </c>
      <c r="D36" s="51" t="s">
        <v>2</v>
      </c>
      <c r="E36" s="52" t="s">
        <v>3</v>
      </c>
      <c r="F36" s="53" t="s">
        <v>4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91" t="str">
        <f>PROPER(TEXT(B37, "dddd"))</f>
        <v>Lördag</v>
      </c>
      <c r="B37" s="93">
        <f>Lördag8</f>
        <v>45710</v>
      </c>
      <c r="C37" s="46">
        <v>0.375</v>
      </c>
      <c r="D37" s="54">
        <v>0.625</v>
      </c>
      <c r="E37" s="55"/>
      <c r="F37" s="56" t="s">
        <v>887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customHeight="1" x14ac:dyDescent="0.3">
      <c r="A38" s="91"/>
      <c r="B38" s="93"/>
      <c r="C38" s="46">
        <v>0.58333333333333337</v>
      </c>
      <c r="D38" s="54">
        <v>0.625</v>
      </c>
      <c r="E38" s="55" t="s">
        <v>97</v>
      </c>
      <c r="F38" s="56" t="s">
        <v>839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customHeight="1" x14ac:dyDescent="0.3">
      <c r="A39" s="91"/>
      <c r="B39" s="93"/>
      <c r="C39" s="46">
        <v>0.625</v>
      </c>
      <c r="D39" s="54">
        <v>0.66666666666666663</v>
      </c>
      <c r="E39" s="55"/>
      <c r="F39" s="56" t="s">
        <v>575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hidden="1" customHeight="1" x14ac:dyDescent="0.3">
      <c r="A40" s="91" t="s">
        <v>0</v>
      </c>
      <c r="B40" s="93" t="s">
        <v>1</v>
      </c>
      <c r="C40" s="50" t="s">
        <v>838</v>
      </c>
      <c r="D40" s="51" t="s">
        <v>2</v>
      </c>
      <c r="E40" s="52" t="s">
        <v>3</v>
      </c>
      <c r="F40" s="53" t="s">
        <v>4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1" spans="1:24" ht="15" customHeight="1" x14ac:dyDescent="0.3">
      <c r="A41" s="91" t="str">
        <f>PROPER(TEXT(B41, "dddd"))</f>
        <v>Söndag</v>
      </c>
      <c r="B41" s="93">
        <f>Söndag8</f>
        <v>45711</v>
      </c>
      <c r="C41" s="46">
        <v>0.29166666666666669</v>
      </c>
      <c r="D41" s="54">
        <v>0.66666666666666663</v>
      </c>
      <c r="E41" s="55"/>
      <c r="F41" s="56" t="s">
        <v>490</v>
      </c>
      <c r="G41"/>
      <c r="H41" s="1"/>
      <c r="I41" s="1"/>
      <c r="L41"/>
      <c r="M41"/>
      <c r="N41"/>
      <c r="O41"/>
      <c r="P41"/>
      <c r="Q41"/>
      <c r="R41"/>
      <c r="S41"/>
      <c r="T41"/>
      <c r="V41"/>
      <c r="W41"/>
      <c r="X41"/>
    </row>
    <row r="42" spans="1:24" ht="15" customHeight="1" x14ac:dyDescent="0.3">
      <c r="A42" s="91"/>
      <c r="B42" s="93"/>
      <c r="C42" s="46">
        <v>0.66666666666666663</v>
      </c>
      <c r="D42" s="54">
        <v>0.79166666666666663</v>
      </c>
      <c r="E42" s="55"/>
      <c r="F42" s="56" t="s">
        <v>887</v>
      </c>
      <c r="G42"/>
      <c r="H42" s="1"/>
      <c r="I42" s="1"/>
      <c r="L42"/>
      <c r="M42"/>
      <c r="N42"/>
      <c r="O42"/>
      <c r="P42"/>
      <c r="Q42"/>
      <c r="R42"/>
      <c r="S42"/>
      <c r="T42"/>
      <c r="V42"/>
      <c r="W42"/>
      <c r="X42"/>
    </row>
    <row r="43" spans="1:24" ht="15" customHeight="1" x14ac:dyDescent="0.3">
      <c r="A43" s="91"/>
      <c r="B43" s="93"/>
      <c r="C43" s="46">
        <v>0.79166666666666663</v>
      </c>
      <c r="D43" s="54">
        <v>0.83333333333333337</v>
      </c>
      <c r="E43" s="55" t="s">
        <v>86</v>
      </c>
      <c r="F43" s="56" t="s">
        <v>632</v>
      </c>
      <c r="G43"/>
      <c r="H43" s="1"/>
      <c r="I43" s="1"/>
      <c r="L43"/>
      <c r="M43"/>
      <c r="N43"/>
      <c r="O43"/>
      <c r="P43"/>
      <c r="Q43"/>
      <c r="R43"/>
      <c r="S43"/>
      <c r="T43"/>
      <c r="V43"/>
      <c r="W43"/>
      <c r="X43"/>
    </row>
    <row r="45" spans="1:24" ht="15" customHeight="1" x14ac:dyDescent="0.3">
      <c r="C45" s="46"/>
      <c r="D45" s="47"/>
    </row>
    <row r="46" spans="1:24" ht="15" customHeight="1" x14ac:dyDescent="0.3">
      <c r="C46" s="46"/>
      <c r="D46" s="8"/>
    </row>
    <row r="47" spans="1:24" ht="15" customHeight="1" x14ac:dyDescent="0.3">
      <c r="C47" s="46"/>
      <c r="D47" s="8"/>
    </row>
  </sheetData>
  <sheetProtection algorithmName="SHA-512" hashValue="gr8ZQvsiW6tYVuPdL2Rb3q+81RzbK8klNb3zPDbz2zK1+9fZrIGIG+6JwFxQrh+aDvtrjSrZ1jNEJxmipvTXpQ==" saltValue="HQkRSmW9DgmlBXUZk9ctfg==" spinCount="100000" sheet="1" objects="1" scenarios="1" autoFilter="0" pivotTables="0"/>
  <sortState xmlns:xlrd2="http://schemas.microsoft.com/office/spreadsheetml/2017/richdata2" ref="A31:F35">
    <sortCondition ref="C31:C35"/>
  </sortState>
  <conditionalFormatting sqref="A3:A6 A9:A13 A16:A21 A24:A28 A37:A38 A31:A33 A41:A42">
    <cfRule type="cellIs" dxfId="3450" priority="1" operator="equal">
      <formula>"Datum"</formula>
    </cfRule>
    <cfRule type="cellIs" dxfId="3449" priority="2" operator="equal">
      <formula>"Dag"</formula>
    </cfRule>
    <cfRule type="expression" dxfId="3448" priority="4">
      <formula>OR(IF($A2="Dag",1))</formula>
    </cfRule>
  </conditionalFormatting>
  <conditionalFormatting sqref="A40">
    <cfRule type="expression" dxfId="3447" priority="22">
      <formula>OR(IF($A39="Dag",1))</formula>
    </cfRule>
  </conditionalFormatting>
  <conditionalFormatting sqref="A21">
    <cfRule type="expression" dxfId="3446" priority="198">
      <formula>OR(IF($A17="Dag",1))</formula>
    </cfRule>
  </conditionalFormatting>
  <conditionalFormatting sqref="A1:B2 A8:B8 A15:B15 A23:B23 A30:B30 A36:B36 A40:B40 A44:B1048576 B3:B7 B9:B14 B16:B22 B24:B29 B37:B39 B41:B43 B31:B35">
    <cfRule type="cellIs" dxfId="3445" priority="14" operator="equal">
      <formula>"Datum"</formula>
    </cfRule>
    <cfRule type="cellIs" dxfId="3444" priority="15" operator="equal">
      <formula>"Dag"</formula>
    </cfRule>
  </conditionalFormatting>
  <conditionalFormatting sqref="B3:B6 B37:B38 B41:B42 B8:B13 B15:B20 B23:B28 B30:B33">
    <cfRule type="expression" dxfId="3443" priority="21">
      <formula>OR(IF($B2="Datum",1))</formula>
    </cfRule>
  </conditionalFormatting>
  <conditionalFormatting sqref="B21">
    <cfRule type="expression" dxfId="3442" priority="207">
      <formula>OR(IF($B17="Datum",1))</formula>
    </cfRule>
  </conditionalFormatting>
  <conditionalFormatting sqref="C3:E43">
    <cfRule type="expression" dxfId="3441" priority="18">
      <formula>OR(IF($E3="Hela hallen",1))</formula>
    </cfRule>
  </conditionalFormatting>
  <conditionalFormatting sqref="L1:T1048576">
    <cfRule type="cellIs" dxfId="3440" priority="13" operator="equal">
      <formula>"-"</formula>
    </cfRule>
  </conditionalFormatting>
  <conditionalFormatting sqref="A7 A14 A22 A29 A39 A43 A34:A35">
    <cfRule type="cellIs" dxfId="3439" priority="701" operator="equal">
      <formula>"Datum"</formula>
    </cfRule>
    <cfRule type="cellIs" dxfId="3438" priority="702" operator="equal">
      <formula>"Dag"</formula>
    </cfRule>
    <cfRule type="expression" dxfId="3437" priority="703">
      <formula>OR(IF(#REF!="Dag",1))</formula>
    </cfRule>
  </conditionalFormatting>
  <conditionalFormatting sqref="B7 B14 B22 B29 B39 B43 B34:B35">
    <cfRule type="expression" dxfId="3436" priority="711">
      <formula>OR(IF(#REF!="Datum",1))</formula>
    </cfRule>
  </conditionalFormatting>
  <conditionalFormatting sqref="A30">
    <cfRule type="expression" dxfId="3435" priority="767">
      <formula>OR(IF($A29="Dag",1))</formula>
    </cfRule>
  </conditionalFormatting>
  <conditionalFormatting sqref="B40">
    <cfRule type="expression" dxfId="3434" priority="770">
      <formula>OR(IF($B39="Datum",1))</formula>
    </cfRule>
  </conditionalFormatting>
  <conditionalFormatting sqref="A36">
    <cfRule type="expression" dxfId="3433" priority="839">
      <formula>OR(IF($A34="Dag",1))</formula>
    </cfRule>
  </conditionalFormatting>
  <conditionalFormatting sqref="B36">
    <cfRule type="expression" dxfId="3432" priority="840">
      <formula>OR(IF($B34="Datum",1))</formula>
    </cfRule>
  </conditionalFormatting>
  <conditionalFormatting sqref="C3:F43">
    <cfRule type="expression" dxfId="3431" priority="1916">
      <formula>OR(IF(#REF!=TRUE,1))</formula>
    </cfRule>
  </conditionalFormatting>
  <conditionalFormatting sqref="A8 A15 A23">
    <cfRule type="expression" dxfId="3430" priority="1922">
      <formula>OR(IF($A7="Dag",1))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EC5D34F-4D8D-4C6B-AFB9-0903E3C36772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A9:A13 A16:A21 A24:A28 A37:B38 A3:B6 A8:B8 A15:B15 A23:B23 A30:B33 A40:B42</xm:sqref>
        </x14:conditionalFormatting>
        <x14:conditionalFormatting xmlns:xm="http://schemas.microsoft.com/office/excel/2006/main">
          <x14:cfRule type="expression" priority="197" id="{9EC5D34F-4D8D-4C6B-AFB9-0903E3C36772}">
            <xm:f>AND(IF(ISERROR(MATCH($B21,Kalenderår!$A$3:$A$17,0)),FALSE,TRUE), IF($B17="Datum",TRUE,FALSE), IF($A17="Dag",TRUE,FALSE))</xm:f>
            <x14:dxf>
              <font>
                <color rgb="FFC00000"/>
              </font>
            </x14:dxf>
          </x14:cfRule>
          <xm:sqref>A21</xm:sqref>
        </x14:conditionalFormatting>
        <x14:conditionalFormatting xmlns:xm="http://schemas.microsoft.com/office/excel/2006/main">
          <x14:cfRule type="expression" priority="17" id="{82A216ED-4F1B-4E30-A958-519A98740151}">
            <xm:f>AND(IF(ISERROR(MATCH($B9,Kalenderår!$A$3:$A$17,0)),FALSE,TRUE), IF($B8="Datum",TRUE,FALSE), IF($A8="Dag",TRUE,FALSE))</xm:f>
            <x14:dxf>
              <font>
                <color rgb="FFC00000"/>
              </font>
            </x14:dxf>
          </x14:cfRule>
          <xm:sqref>B9:B13 B16:B20 B24:B28</xm:sqref>
        </x14:conditionalFormatting>
        <x14:conditionalFormatting xmlns:xm="http://schemas.microsoft.com/office/excel/2006/main">
          <x14:cfRule type="expression" priority="204" id="{82A216ED-4F1B-4E30-A958-519A98740151}">
            <xm:f>AND(IF(ISERROR(MATCH($B21,Kalenderår!$A$3:$A$17,0)),FALSE,TRUE), IF($B17="Datum",TRUE,FALSE), IF($A17="Dag",TRUE,FALSE))</xm:f>
            <x14:dxf>
              <font>
                <color rgb="FFC00000"/>
              </font>
            </x14:dxf>
          </x14:cfRule>
          <xm:sqref>B21</xm:sqref>
        </x14:conditionalFormatting>
        <x14:conditionalFormatting xmlns:xm="http://schemas.microsoft.com/office/excel/2006/main">
          <x14:cfRule type="expression" priority="721" id="{9EC5D34F-4D8D-4C6B-AFB9-0903E3C36772}">
            <xm:f>AND(IF(ISERROR(MATCH($B7,Kalenderår!$A$3:$A$17,0)),FALSE,TRUE), IF(#REF!="Datum",TRUE,FALSE), IF(#REF!="Dag",TRUE,FALSE))</xm:f>
            <x14:dxf>
              <font>
                <color rgb="FFC00000"/>
              </font>
            </x14:dxf>
          </x14:cfRule>
          <xm:sqref>A7:B7 A14:B14 A22:B22 A29:B29 A34:B35 A39:B39 A43:B43</xm:sqref>
        </x14:conditionalFormatting>
        <x14:conditionalFormatting xmlns:xm="http://schemas.microsoft.com/office/excel/2006/main">
          <x14:cfRule type="expression" priority="782" id="{82A216ED-4F1B-4E30-A958-519A98740151}">
            <xm:f>AND(IF(ISERROR(MATCH($B36,Kalenderår!$A$3:$A$17,0)),FALSE,TRUE), IF($B34="Datum",TRUE,FALSE), IF($A34="Dag",TRUE,FALSE))</xm:f>
            <x14:dxf>
              <font>
                <color rgb="FFC00000"/>
              </font>
            </x14:dxf>
          </x14:cfRule>
          <xm:sqref>A36:B36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4B5B4B-A15C-4AC9-BAAE-B2BB4173852B}">
          <x14:formula1>
            <xm:f>Kontaktuppgifter!$A$2:$A$300</xm:f>
          </x14:formula1>
          <xm:sqref>F3:F7 F9:F14 F16:F22 F24:F29 F37:F39 F41:F43 F31:F35</xm:sqref>
        </x14:dataValidation>
        <x14:dataValidation type="list" allowBlank="1" showInputMessage="1" showErrorMessage="1" xr:uid="{1A2FB35A-A7DD-4D2A-94EB-A65467DF5FEA}">
          <x14:formula1>
            <xm:f>Listor!$A$2:$A$150</xm:f>
          </x14:formula1>
          <xm:sqref>E3:E7 E9:E14 E16:E22 E24:E29 E37:E39 E41:E43 E31:E35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BF89-131D-42FC-BCCD-C3FB6AE9B0EB}">
  <sheetPr codeName="Blad10">
    <pageSetUpPr fitToPage="1"/>
  </sheetPr>
  <dimension ref="A1:Y41"/>
  <sheetViews>
    <sheetView showGridLines="0" zoomScaleNormal="100" workbookViewId="0">
      <pane ySplit="2" topLeftCell="A3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7.10937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Måndag9</f>
        <v>45712</v>
      </c>
      <c r="W1" s="39">
        <f>Söndag9</f>
        <v>45718</v>
      </c>
      <c r="X1" s="40">
        <f>WEEKNUM(Söndag9, 2)</f>
        <v>9</v>
      </c>
      <c r="Y1" s="41" t="str">
        <f>"V. "&amp;X1&amp;", "&amp;TEXT(V1,"D MMM")&amp;"-"&amp;TEXT(W1,"D MMM")</f>
        <v>V. 9, 24 feb-2 mar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>Måndag9</f>
        <v>45712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0.83333333333333337</v>
      </c>
      <c r="D4" s="47">
        <v>0.875</v>
      </c>
      <c r="E4" s="48" t="s">
        <v>98</v>
      </c>
      <c r="F4" s="49" t="s">
        <v>375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hidden="1" customHeight="1" x14ac:dyDescent="0.3">
      <c r="A5" s="91" t="s">
        <v>0</v>
      </c>
      <c r="B5" s="93" t="s">
        <v>1</v>
      </c>
      <c r="C5" s="50" t="s">
        <v>838</v>
      </c>
      <c r="D5" s="51" t="s">
        <v>2</v>
      </c>
      <c r="E5" s="52" t="s">
        <v>3</v>
      </c>
      <c r="F5" s="53" t="s">
        <v>4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 t="str">
        <f t="shared" ref="A6" si="0">PROPER(TEXT(B6, "dddd"))</f>
        <v>Tisdag</v>
      </c>
      <c r="B6" s="93">
        <f t="shared" ref="B6" si="1">Tisdag9</f>
        <v>45713</v>
      </c>
      <c r="C6" s="46">
        <v>0.33333333333333331</v>
      </c>
      <c r="D6" s="54">
        <v>0.39583333333333331</v>
      </c>
      <c r="E6" s="55"/>
      <c r="F6" s="56" t="s">
        <v>522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0.375</v>
      </c>
      <c r="D7" s="54">
        <v>0.44791666666666669</v>
      </c>
      <c r="E7" s="55" t="s">
        <v>94</v>
      </c>
      <c r="F7" s="56" t="s">
        <v>521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0.47916666666666669</v>
      </c>
      <c r="D8" s="54">
        <v>0.54166666666666663</v>
      </c>
      <c r="E8" s="55">
        <v>2</v>
      </c>
      <c r="F8" s="56" t="s">
        <v>570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0.5625</v>
      </c>
      <c r="D9" s="54">
        <v>0.64583333333333337</v>
      </c>
      <c r="E9" s="55"/>
      <c r="F9" s="56" t="s">
        <v>601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0.70833333333333337</v>
      </c>
      <c r="D10" s="54">
        <v>0.83333333333333337</v>
      </c>
      <c r="E10" s="55"/>
      <c r="F10" s="56" t="s">
        <v>887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0.83333333333333337</v>
      </c>
      <c r="D11" s="54">
        <v>0.875</v>
      </c>
      <c r="E11" s="55" t="s">
        <v>89</v>
      </c>
      <c r="F11" s="56" t="s">
        <v>619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 t="str">
        <f t="shared" ref="A13" si="2">PROPER(TEXT(B13, "dddd"))</f>
        <v>Onsdag</v>
      </c>
      <c r="B13" s="93">
        <f t="shared" ref="B13" si="3">Onsdag9</f>
        <v>45714</v>
      </c>
      <c r="C13" s="46">
        <v>0.375</v>
      </c>
      <c r="D13" s="54">
        <v>0.45833333333333331</v>
      </c>
      <c r="E13" s="55"/>
      <c r="F13" s="56" t="s">
        <v>752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0.41666666666666669</v>
      </c>
      <c r="D14" s="54">
        <v>0.5</v>
      </c>
      <c r="E14" s="55"/>
      <c r="F14" s="56" t="s">
        <v>657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0.55555555555555558</v>
      </c>
      <c r="D15" s="54">
        <v>0.63888888888888884</v>
      </c>
      <c r="E15" s="55"/>
      <c r="F15" s="56" t="s">
        <v>28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0.55555555555555558</v>
      </c>
      <c r="D16" s="54">
        <v>0.63888888888888884</v>
      </c>
      <c r="E16" s="55"/>
      <c r="F16" s="56" t="s">
        <v>791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0.70833333333333337</v>
      </c>
      <c r="D17" s="54">
        <v>0.83333333333333337</v>
      </c>
      <c r="E17" s="55"/>
      <c r="F17" s="56" t="s">
        <v>887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0.83333333333333337</v>
      </c>
      <c r="D18" s="54">
        <v>0.875</v>
      </c>
      <c r="E18" s="55" t="s">
        <v>98</v>
      </c>
      <c r="F18" s="56" t="s">
        <v>422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0.83333333333333337</v>
      </c>
      <c r="D19" s="54">
        <v>0.875</v>
      </c>
      <c r="E19" s="55" t="s">
        <v>97</v>
      </c>
      <c r="F19" s="56" t="s">
        <v>342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hidden="1" customHeight="1" x14ac:dyDescent="0.3">
      <c r="A20" s="91" t="s">
        <v>0</v>
      </c>
      <c r="B20" s="93" t="s">
        <v>1</v>
      </c>
      <c r="C20" s="50" t="s">
        <v>838</v>
      </c>
      <c r="D20" s="51" t="s">
        <v>2</v>
      </c>
      <c r="E20" s="52" t="s">
        <v>3</v>
      </c>
      <c r="F20" s="53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 t="str">
        <f t="shared" ref="A21" si="4">PROPER(TEXT(B21, "dddd"))</f>
        <v>Torsdag</v>
      </c>
      <c r="B21" s="93">
        <f t="shared" ref="B21" si="5">Torsdag9</f>
        <v>45715</v>
      </c>
      <c r="C21" s="46">
        <v>0.35416666666666669</v>
      </c>
      <c r="D21" s="54">
        <v>0.4375</v>
      </c>
      <c r="E21" s="55">
        <v>3</v>
      </c>
      <c r="F21" s="56" t="s">
        <v>499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0.375</v>
      </c>
      <c r="D22" s="54">
        <v>0.4375</v>
      </c>
      <c r="E22" s="55" t="s">
        <v>81</v>
      </c>
      <c r="F22" s="56" t="s">
        <v>521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0.41666666666666669</v>
      </c>
      <c r="D23" s="54">
        <v>0.5</v>
      </c>
      <c r="E23" s="55"/>
      <c r="F23" s="56" t="s">
        <v>252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s="10" customFormat="1" ht="15" customHeight="1" x14ac:dyDescent="0.3">
      <c r="A24" s="91"/>
      <c r="B24" s="93"/>
      <c r="C24" s="46">
        <v>0.5625</v>
      </c>
      <c r="D24" s="54">
        <v>0.64583333333333337</v>
      </c>
      <c r="E24" s="55"/>
      <c r="F24" s="56" t="s">
        <v>230</v>
      </c>
    </row>
    <row r="25" spans="1:24" ht="15" customHeight="1" x14ac:dyDescent="0.3">
      <c r="A25" s="91"/>
      <c r="B25" s="93"/>
      <c r="C25" s="46">
        <v>0.70833333333333337</v>
      </c>
      <c r="D25" s="54">
        <v>0.83333333333333337</v>
      </c>
      <c r="E25" s="55"/>
      <c r="F25" s="56" t="s">
        <v>887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hidden="1" customHeight="1" x14ac:dyDescent="0.3">
      <c r="A26" s="91" t="s">
        <v>0</v>
      </c>
      <c r="B26" s="93" t="s">
        <v>1</v>
      </c>
      <c r="C26" s="50" t="s">
        <v>838</v>
      </c>
      <c r="D26" s="51" t="s">
        <v>2</v>
      </c>
      <c r="E26" s="52" t="s">
        <v>3</v>
      </c>
      <c r="F26" s="53" t="s">
        <v>4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 t="str">
        <f t="shared" ref="A27" si="6">PROPER(TEXT(B27, "dddd"))</f>
        <v>Fredag</v>
      </c>
      <c r="B27" s="93">
        <f t="shared" ref="B27" si="7">Fredag9</f>
        <v>45716</v>
      </c>
      <c r="C27" s="46">
        <v>0.375</v>
      </c>
      <c r="D27" s="54">
        <v>0.4375</v>
      </c>
      <c r="E27" s="55" t="s">
        <v>57</v>
      </c>
      <c r="F27" s="56" t="s">
        <v>521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0.41666666666666669</v>
      </c>
      <c r="D28" s="54">
        <v>0.5</v>
      </c>
      <c r="E28" s="55"/>
      <c r="F28" s="56" t="s">
        <v>643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0.45833333333333331</v>
      </c>
      <c r="D29" s="54">
        <v>0.54166666666666663</v>
      </c>
      <c r="E29" s="55"/>
      <c r="F29" s="56" t="s">
        <v>815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s="10" customFormat="1" ht="15" customHeight="1" x14ac:dyDescent="0.3">
      <c r="A30" s="91"/>
      <c r="B30" s="93"/>
      <c r="C30" s="46">
        <v>0.70833333333333337</v>
      </c>
      <c r="D30" s="54">
        <v>0.83333333333333337</v>
      </c>
      <c r="E30" s="55"/>
      <c r="F30" s="56" t="s">
        <v>887</v>
      </c>
    </row>
    <row r="31" spans="1:24" ht="15" hidden="1" customHeight="1" x14ac:dyDescent="0.3">
      <c r="A31" s="91" t="s">
        <v>0</v>
      </c>
      <c r="B31" s="93" t="s">
        <v>1</v>
      </c>
      <c r="C31" s="50" t="s">
        <v>838</v>
      </c>
      <c r="D31" s="51" t="s">
        <v>2</v>
      </c>
      <c r="E31" s="52" t="s">
        <v>3</v>
      </c>
      <c r="F31" s="53" t="s">
        <v>4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91" t="str">
        <f>PROPER(TEXT(B32, "dddd"))</f>
        <v>Lördag</v>
      </c>
      <c r="B32" s="93">
        <f>Lördag9</f>
        <v>45717</v>
      </c>
      <c r="C32" s="46">
        <v>0.375</v>
      </c>
      <c r="D32" s="54">
        <v>0.625</v>
      </c>
      <c r="E32" s="55"/>
      <c r="F32" s="56" t="s">
        <v>887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91"/>
      <c r="B33" s="93"/>
      <c r="C33" s="46">
        <v>0.41666666666666669</v>
      </c>
      <c r="D33" s="54">
        <v>0.47916666666666669</v>
      </c>
      <c r="E33" s="55"/>
      <c r="F33" s="56" t="s">
        <v>843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s="10" customFormat="1" ht="15" customHeight="1" x14ac:dyDescent="0.3">
      <c r="A34" s="91"/>
      <c r="B34" s="93"/>
      <c r="C34" s="46">
        <v>0.625</v>
      </c>
      <c r="D34" s="54">
        <v>0.66666666666666663</v>
      </c>
      <c r="E34" s="55"/>
      <c r="F34" s="56" t="s">
        <v>575</v>
      </c>
    </row>
    <row r="35" spans="1:24" ht="15" customHeight="1" x14ac:dyDescent="0.3">
      <c r="A35" s="91"/>
      <c r="B35" s="93"/>
      <c r="C35" s="46">
        <v>0.66666666666666663</v>
      </c>
      <c r="D35" s="54">
        <v>0.75</v>
      </c>
      <c r="E35" s="55" t="s">
        <v>69</v>
      </c>
      <c r="F35" s="56" t="s">
        <v>856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hidden="1" customHeight="1" x14ac:dyDescent="0.3">
      <c r="A36" s="91" t="s">
        <v>0</v>
      </c>
      <c r="B36" s="93" t="s">
        <v>1</v>
      </c>
      <c r="C36" s="50" t="s">
        <v>838</v>
      </c>
      <c r="D36" s="51" t="s">
        <v>2</v>
      </c>
      <c r="E36" s="52" t="s">
        <v>3</v>
      </c>
      <c r="F36" s="53" t="s">
        <v>4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91" t="str">
        <f>PROPER(TEXT(B37, "dddd"))</f>
        <v>Söndag</v>
      </c>
      <c r="B37" s="93">
        <f>Söndag9</f>
        <v>45718</v>
      </c>
      <c r="C37" s="46">
        <v>0.375</v>
      </c>
      <c r="D37" s="54">
        <v>0.79166666666666663</v>
      </c>
      <c r="E37" s="55"/>
      <c r="F37" s="56" t="s">
        <v>887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9" spans="1:24" ht="15" customHeight="1" x14ac:dyDescent="0.3">
      <c r="C39" s="46"/>
      <c r="D39" s="47"/>
    </row>
    <row r="40" spans="1:24" ht="15" customHeight="1" x14ac:dyDescent="0.3">
      <c r="C40" s="46"/>
      <c r="D40" s="8"/>
    </row>
    <row r="41" spans="1:24" ht="15" customHeight="1" x14ac:dyDescent="0.3">
      <c r="C41" s="46"/>
      <c r="D41" s="8"/>
    </row>
  </sheetData>
  <sheetProtection algorithmName="SHA-512" hashValue="w4Mj3QETHP3bzj/t8jeyPtx9YSIcLJmFkUSS1jsJmwCTXp0qfTafC8CZGhFXSslLUrJ0x8sVfpXSbnA6Sk7WbQ==" saltValue="PFON2lUFHfh08k4wROzfxQ==" spinCount="100000" sheet="1" objects="1" scenarios="1" autoFilter="0" pivotTables="0"/>
  <sortState xmlns:xlrd2="http://schemas.microsoft.com/office/spreadsheetml/2017/richdata2" ref="A27:F30">
    <sortCondition ref="C27:C30"/>
  </sortState>
  <conditionalFormatting sqref="A13:A17 A21:A23 A3 A37 A32:A34 A27:A30 A5:A10">
    <cfRule type="expression" dxfId="3367" priority="4">
      <formula>OR(IF($A2="Dag",1))</formula>
    </cfRule>
  </conditionalFormatting>
  <conditionalFormatting sqref="A6:A11 A32:B35 A13:B19 A3:B4 A21:B25 A27:B30 A37:B37">
    <cfRule type="cellIs" dxfId="3366" priority="1" operator="equal">
      <formula>"Datum"</formula>
    </cfRule>
    <cfRule type="cellIs" dxfId="3365" priority="2" operator="equal">
      <formula>"Dag"</formula>
    </cfRule>
  </conditionalFormatting>
  <conditionalFormatting sqref="A36">
    <cfRule type="expression" dxfId="3364" priority="22">
      <formula>OR(IF(#REF!="Dag",1))</formula>
    </cfRule>
  </conditionalFormatting>
  <conditionalFormatting sqref="A18">
    <cfRule type="expression" dxfId="3363" priority="215">
      <formula>OR(IF($A14="Dag",1))</formula>
    </cfRule>
  </conditionalFormatting>
  <conditionalFormatting sqref="A1:B2 A5:B5 B6:B11 A12:B12 A20:B20 A26:B26 A31:B31 A36:B36 A38:B1048576">
    <cfRule type="cellIs" dxfId="3362" priority="14" operator="equal">
      <formula>"Datum"</formula>
    </cfRule>
    <cfRule type="cellIs" dxfId="3361" priority="15" operator="equal">
      <formula>"Dag"</formula>
    </cfRule>
  </conditionalFormatting>
  <conditionalFormatting sqref="B3 B27:B30 B5:B10 B13:B17 B21:B23 B32:B34 B37">
    <cfRule type="expression" dxfId="3360" priority="21">
      <formula>OR(IF($B2="Datum",1))</formula>
    </cfRule>
  </conditionalFormatting>
  <conditionalFormatting sqref="B18">
    <cfRule type="expression" dxfId="3359" priority="224">
      <formula>OR(IF($B14="Datum",1))</formula>
    </cfRule>
  </conditionalFormatting>
  <conditionalFormatting sqref="C3:E37">
    <cfRule type="expression" dxfId="3358" priority="18">
      <formula>OR(IF($E3="Hela hallen",1))</formula>
    </cfRule>
  </conditionalFormatting>
  <conditionalFormatting sqref="L1:T1048576">
    <cfRule type="cellIs" dxfId="3357" priority="13" operator="equal">
      <formula>"-"</formula>
    </cfRule>
  </conditionalFormatting>
  <conditionalFormatting sqref="A11">
    <cfRule type="expression" dxfId="3356" priority="510">
      <formula>OR(IF($A9="Dag",1))</formula>
    </cfRule>
  </conditionalFormatting>
  <conditionalFormatting sqref="B11">
    <cfRule type="expression" dxfId="3355" priority="513">
      <formula>OR(IF($B9="Datum",1))</formula>
    </cfRule>
  </conditionalFormatting>
  <conditionalFormatting sqref="A35 A19 A4 A24:A25">
    <cfRule type="expression" dxfId="3354" priority="723">
      <formula>OR(IF(#REF!="Dag",1))</formula>
    </cfRule>
  </conditionalFormatting>
  <conditionalFormatting sqref="B35 B19 B4 B24:B25">
    <cfRule type="expression" dxfId="3353" priority="733">
      <formula>OR(IF(#REF!="Datum",1))</formula>
    </cfRule>
  </conditionalFormatting>
  <conditionalFormatting sqref="A26">
    <cfRule type="expression" dxfId="3352" priority="822">
      <formula>OR(IF($A24="Dag",1))</formula>
    </cfRule>
  </conditionalFormatting>
  <conditionalFormatting sqref="B26">
    <cfRule type="expression" dxfId="3351" priority="823">
      <formula>OR(IF($B24="Datum",1))</formula>
    </cfRule>
  </conditionalFormatting>
  <conditionalFormatting sqref="C3:F37">
    <cfRule type="expression" dxfId="3350" priority="1924">
      <formula>OR(IF(#REF!=TRUE,1))</formula>
    </cfRule>
  </conditionalFormatting>
  <conditionalFormatting sqref="A12 A20 A31">
    <cfRule type="expression" dxfId="3349" priority="1925">
      <formula>OR(IF(#REF!="Dag",1))</formula>
    </cfRule>
  </conditionalFormatting>
  <conditionalFormatting sqref="B12 B20 B31 B36">
    <cfRule type="expression" dxfId="3348" priority="1926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10D3130-179C-4371-8148-24071ABD6691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A13:A17 A21:B23 A3:B3 A37:B37 A32:B34 A27:B30 A5:B10</xm:sqref>
        </x14:conditionalFormatting>
        <x14:conditionalFormatting xmlns:xm="http://schemas.microsoft.com/office/excel/2006/main">
          <x14:cfRule type="expression" priority="214" id="{C10D3130-179C-4371-8148-24071ABD6691}">
            <xm:f>AND(IF(ISERROR(MATCH($B18,Kalenderår!$A$3:$A$17,0)),FALSE,TRUE), IF($B14="Datum",TRUE,FALSE), IF($A14="Dag",TRUE,FALSE))</xm:f>
            <x14:dxf>
              <font>
                <color rgb="FFC00000"/>
              </font>
            </x14:dxf>
          </x14:cfRule>
          <xm:sqref>A18</xm:sqref>
        </x14:conditionalFormatting>
        <x14:conditionalFormatting xmlns:xm="http://schemas.microsoft.com/office/excel/2006/main">
          <x14:cfRule type="expression" priority="17" id="{8B467531-D2EC-42C4-8916-B146FE8C4A4F}">
            <xm:f>AND(IF(ISERROR(MATCH($B13,Kalenderår!$A$3:$A$17,0)),FALSE,TRUE), IF($B12="Datum",TRUE,FALSE), IF($A12="Dag",TRUE,FALSE))</xm:f>
            <x14:dxf>
              <font>
                <color rgb="FFC00000"/>
              </font>
            </x14:dxf>
          </x14:cfRule>
          <xm:sqref>B13:B17</xm:sqref>
        </x14:conditionalFormatting>
        <x14:conditionalFormatting xmlns:xm="http://schemas.microsoft.com/office/excel/2006/main">
          <x14:cfRule type="expression" priority="221" id="{8B467531-D2EC-42C4-8916-B146FE8C4A4F}">
            <xm:f>AND(IF(ISERROR(MATCH($B18,Kalenderår!$A$3:$A$17,0)),FALSE,TRUE), IF($B14="Datum",TRUE,FALSE), IF($A14="Dag",TRUE,FALSE))</xm:f>
            <x14:dxf>
              <font>
                <color rgb="FFC00000"/>
              </font>
            </x14:dxf>
          </x14:cfRule>
          <xm:sqref>B18</xm:sqref>
        </x14:conditionalFormatting>
        <x14:conditionalFormatting xmlns:xm="http://schemas.microsoft.com/office/excel/2006/main">
          <x14:cfRule type="expression" priority="516" id="{C10D3130-179C-4371-8148-24071ABD6691}">
            <xm:f>AND(IF(ISERROR(MATCH($B11,Kalenderår!$A$3:$A$17,0)),FALSE,TRUE), IF($B9="Datum",TRUE,FALSE), IF($A9="Dag",TRUE,FALSE))</xm:f>
            <x14:dxf>
              <font>
                <color rgb="FFC00000"/>
              </font>
            </x14:dxf>
          </x14:cfRule>
          <xm:sqref>A11:B11 A26:B26</xm:sqref>
        </x14:conditionalFormatting>
        <x14:conditionalFormatting xmlns:xm="http://schemas.microsoft.com/office/excel/2006/main">
          <x14:cfRule type="expression" priority="743" id="{C10D3130-179C-4371-8148-24071ABD6691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A35:B35 A19:B19 A4:B4 A24:B25</xm:sqref>
        </x14:conditionalFormatting>
        <x14:conditionalFormatting xmlns:xm="http://schemas.microsoft.com/office/excel/2006/main">
          <x14:cfRule type="expression" priority="1933" id="{8B467531-D2EC-42C4-8916-B146FE8C4A4F}">
            <xm:f>AND(IF(ISERROR(MATCH($B12,Kalenderår!$A$3:$A$17,0)),FALSE,TRUE),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A12:B12 A20:B20 A31:B31 A36:B36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DB446DC-6A17-4819-AC25-9B91AA11D265}">
          <x14:formula1>
            <xm:f>Listor!$A$2:$A$150</xm:f>
          </x14:formula1>
          <xm:sqref>E6:E11 E32:E35 E13:E19 E3:E4 E21:E25 E27:E30 E37</xm:sqref>
        </x14:dataValidation>
        <x14:dataValidation type="list" allowBlank="1" showInputMessage="1" showErrorMessage="1" xr:uid="{ADA634AE-C593-41F2-8D44-C2037BB48203}">
          <x14:formula1>
            <xm:f>Kontaktuppgifter!$A$2:$A$300</xm:f>
          </x14:formula1>
          <xm:sqref>F6:F11 F32:F35 F13:F19 F3:F4 F21:F25 F27:F30 F37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1046-D6EE-4D12-A827-4DDBE6076A3A}">
  <sheetPr codeName="Blad11">
    <pageSetUpPr fitToPage="1"/>
  </sheetPr>
  <dimension ref="A1:Y39"/>
  <sheetViews>
    <sheetView showGridLines="0" zoomScaleNormal="100" workbookViewId="0">
      <pane ySplit="2" topLeftCell="A3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Måndag10</f>
        <v>45719</v>
      </c>
      <c r="W1" s="39">
        <f>Söndag10</f>
        <v>45725</v>
      </c>
      <c r="X1" s="40">
        <f>WEEKNUM(Söndag10, 2)</f>
        <v>10</v>
      </c>
      <c r="Y1" s="41" t="str">
        <f>"V. "&amp;X1&amp;", "&amp;TEXT(V1,"D MMM")&amp;"-"&amp;TEXT(W1,"D MMM")</f>
        <v>V. 10, 3 mar-9 mar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Måndag10</f>
        <v>45719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0.83333333333333337</v>
      </c>
      <c r="D4" s="47">
        <v>0.875</v>
      </c>
      <c r="E4" s="48" t="s">
        <v>97</v>
      </c>
      <c r="F4" s="49" t="s">
        <v>375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s="10" customFormat="1" ht="20.100000000000001" hidden="1" customHeight="1" x14ac:dyDescent="0.3">
      <c r="A5" s="91" t="s">
        <v>0</v>
      </c>
      <c r="B5" s="93" t="s">
        <v>1</v>
      </c>
      <c r="C5" s="50" t="s">
        <v>838</v>
      </c>
      <c r="D5" s="51" t="s">
        <v>2</v>
      </c>
      <c r="E5" s="52" t="s">
        <v>3</v>
      </c>
      <c r="F5" s="53" t="s">
        <v>4</v>
      </c>
    </row>
    <row r="6" spans="1:25" ht="15" customHeight="1" x14ac:dyDescent="0.3">
      <c r="A6" s="91" t="str">
        <f t="shared" ref="A6" si="2">PROPER(TEXT(B6, "dddd"))</f>
        <v>Tisdag</v>
      </c>
      <c r="B6" s="93">
        <f t="shared" ref="B6" si="3">Tisdag10</f>
        <v>45720</v>
      </c>
      <c r="C6" s="46">
        <v>0.33333333333333331</v>
      </c>
      <c r="D6" s="54">
        <v>0.39583333333333331</v>
      </c>
      <c r="E6" s="55"/>
      <c r="F6" s="56" t="s">
        <v>522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0.35416666666666669</v>
      </c>
      <c r="D7" s="54">
        <v>0.38541666666666669</v>
      </c>
      <c r="E7" s="55" t="s">
        <v>128</v>
      </c>
      <c r="F7" s="56" t="s">
        <v>467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0.375</v>
      </c>
      <c r="D8" s="54">
        <v>0.44791666666666669</v>
      </c>
      <c r="E8" s="55" t="s">
        <v>94</v>
      </c>
      <c r="F8" s="56" t="s">
        <v>521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0.5625</v>
      </c>
      <c r="D9" s="54">
        <v>0.64583333333333337</v>
      </c>
      <c r="E9" s="55"/>
      <c r="F9" s="56" t="s">
        <v>601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0.70833333333333337</v>
      </c>
      <c r="D10" s="54">
        <v>0.83333333333333337</v>
      </c>
      <c r="E10" s="55"/>
      <c r="F10" s="56" t="s">
        <v>887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0.83333333333333337</v>
      </c>
      <c r="D11" s="54">
        <v>0.875</v>
      </c>
      <c r="E11" s="55" t="s">
        <v>89</v>
      </c>
      <c r="F11" s="56" t="s">
        <v>619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 t="shared" ref="A13" si="4">PROPER(TEXT(B13, "dddd"))</f>
        <v>Onsdag</v>
      </c>
      <c r="B13" s="93">
        <f t="shared" ref="B13" si="5">Onsdag10</f>
        <v>45721</v>
      </c>
      <c r="C13" s="46">
        <v>0.375</v>
      </c>
      <c r="D13" s="54">
        <v>0.45833333333333331</v>
      </c>
      <c r="E13" s="55"/>
      <c r="F13" s="56" t="s">
        <v>752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0.39583333333333331</v>
      </c>
      <c r="D14" s="54">
        <v>0.5</v>
      </c>
      <c r="E14" s="55" t="s">
        <v>128</v>
      </c>
      <c r="F14" s="56" t="s">
        <v>607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0.41666666666666669</v>
      </c>
      <c r="D15" s="54">
        <v>0.5</v>
      </c>
      <c r="E15" s="55"/>
      <c r="F15" s="56" t="s">
        <v>657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0.55555555555555558</v>
      </c>
      <c r="D16" s="54">
        <v>0.63888888888888884</v>
      </c>
      <c r="E16" s="55"/>
      <c r="F16" s="56" t="s">
        <v>28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0.55555555555555558</v>
      </c>
      <c r="D17" s="54">
        <v>0.63888888888888884</v>
      </c>
      <c r="E17" s="55"/>
      <c r="F17" s="56" t="s">
        <v>791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0.70833333333333337</v>
      </c>
      <c r="D18" s="54">
        <v>0.83333333333333337</v>
      </c>
      <c r="E18" s="55"/>
      <c r="F18" s="56" t="s">
        <v>887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0.83333333333333337</v>
      </c>
      <c r="D19" s="54">
        <v>0.875</v>
      </c>
      <c r="E19" s="55" t="s">
        <v>98</v>
      </c>
      <c r="F19" s="56" t="s">
        <v>422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s="10" customFormat="1" ht="20.100000000000001" hidden="1" customHeight="1" x14ac:dyDescent="0.3">
      <c r="A20" s="91" t="s">
        <v>0</v>
      </c>
      <c r="B20" s="93" t="s">
        <v>1</v>
      </c>
      <c r="C20" s="50" t="s">
        <v>838</v>
      </c>
      <c r="D20" s="51" t="s">
        <v>2</v>
      </c>
      <c r="E20" s="52" t="s">
        <v>3</v>
      </c>
      <c r="F20" s="53" t="s">
        <v>4</v>
      </c>
    </row>
    <row r="21" spans="1:24" ht="15" customHeight="1" x14ac:dyDescent="0.3">
      <c r="A21" s="91" t="str">
        <f t="shared" ref="A21" si="6">PROPER(TEXT(B21, "dddd"))</f>
        <v>Torsdag</v>
      </c>
      <c r="B21" s="93">
        <f t="shared" ref="B21" si="7">Torsdag10</f>
        <v>45722</v>
      </c>
      <c r="C21" s="46">
        <v>0.375</v>
      </c>
      <c r="D21" s="54">
        <v>0.4375</v>
      </c>
      <c r="E21" s="55" t="s">
        <v>81</v>
      </c>
      <c r="F21" s="56" t="s">
        <v>521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0.41666666666666669</v>
      </c>
      <c r="D22" s="54">
        <v>0.5</v>
      </c>
      <c r="E22" s="55"/>
      <c r="F22" s="56" t="s">
        <v>252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0.5625</v>
      </c>
      <c r="D23" s="54">
        <v>0.64583333333333337</v>
      </c>
      <c r="E23" s="55"/>
      <c r="F23" s="56" t="s">
        <v>230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0.70833333333333337</v>
      </c>
      <c r="D24" s="54">
        <v>0.83333333333333337</v>
      </c>
      <c r="E24" s="55"/>
      <c r="F24" s="56" t="s">
        <v>887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/>
      <c r="B25" s="93"/>
      <c r="C25" s="46">
        <v>0.83333333333333337</v>
      </c>
      <c r="D25" s="54">
        <v>0.90625</v>
      </c>
      <c r="E25" s="55" t="s">
        <v>103</v>
      </c>
      <c r="F25" s="56" t="s">
        <v>746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s="10" customFormat="1" ht="20.100000000000001" hidden="1" customHeight="1" x14ac:dyDescent="0.3">
      <c r="A26" s="91" t="s">
        <v>0</v>
      </c>
      <c r="B26" s="93" t="s">
        <v>1</v>
      </c>
      <c r="C26" s="50" t="s">
        <v>838</v>
      </c>
      <c r="D26" s="51" t="s">
        <v>2</v>
      </c>
      <c r="E26" s="52" t="s">
        <v>3</v>
      </c>
      <c r="F26" s="53" t="s">
        <v>4</v>
      </c>
    </row>
    <row r="27" spans="1:24" ht="15" customHeight="1" x14ac:dyDescent="0.3">
      <c r="A27" s="91" t="str">
        <f t="shared" ref="A27" si="8">PROPER(TEXT(B27, "dddd"))</f>
        <v>Fredag</v>
      </c>
      <c r="B27" s="93">
        <f t="shared" ref="B27" si="9">Fredag10</f>
        <v>45723</v>
      </c>
      <c r="C27" s="46">
        <v>0.375</v>
      </c>
      <c r="D27" s="54">
        <v>0.4375</v>
      </c>
      <c r="E27" s="55" t="s">
        <v>57</v>
      </c>
      <c r="F27" s="56" t="s">
        <v>521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0.375</v>
      </c>
      <c r="D28" s="54">
        <v>0.875</v>
      </c>
      <c r="E28" s="55"/>
      <c r="F28" s="56" t="s">
        <v>425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0.41666666666666669</v>
      </c>
      <c r="D29" s="54">
        <v>0.5</v>
      </c>
      <c r="E29" s="55"/>
      <c r="F29" s="56" t="s">
        <v>643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91"/>
      <c r="B30" s="93"/>
      <c r="C30" s="46">
        <v>0.45833333333333331</v>
      </c>
      <c r="D30" s="54">
        <v>0.54166666666666663</v>
      </c>
      <c r="E30" s="55"/>
      <c r="F30" s="56" t="s">
        <v>815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91"/>
      <c r="B31" s="93"/>
      <c r="C31" s="46">
        <v>0.70833333333333337</v>
      </c>
      <c r="D31" s="54">
        <v>0.83333333333333337</v>
      </c>
      <c r="E31" s="55"/>
      <c r="F31" s="56" t="s">
        <v>887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s="10" customFormat="1" ht="20.100000000000001" hidden="1" customHeight="1" x14ac:dyDescent="0.3">
      <c r="A32" s="91" t="s">
        <v>0</v>
      </c>
      <c r="B32" s="93" t="s">
        <v>1</v>
      </c>
      <c r="C32" s="50" t="s">
        <v>838</v>
      </c>
      <c r="D32" s="51" t="s">
        <v>2</v>
      </c>
      <c r="E32" s="52" t="s">
        <v>3</v>
      </c>
      <c r="F32" s="53" t="s">
        <v>4</v>
      </c>
    </row>
    <row r="33" spans="1:24" ht="15" customHeight="1" x14ac:dyDescent="0.3">
      <c r="A33" s="91" t="str">
        <f t="shared" ref="A33" si="10">PROPER(TEXT(B33, "dddd"))</f>
        <v>Lördag</v>
      </c>
      <c r="B33" s="93">
        <f t="shared" ref="B33" si="11">Lördag10</f>
        <v>45724</v>
      </c>
      <c r="C33" s="46">
        <v>0.33333333333333331</v>
      </c>
      <c r="D33" s="54">
        <v>0.875</v>
      </c>
      <c r="E33" s="55"/>
      <c r="F33" s="56" t="s">
        <v>425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s="10" customFormat="1" ht="20.100000000000001" hidden="1" customHeight="1" x14ac:dyDescent="0.3">
      <c r="A34" s="91" t="s">
        <v>0</v>
      </c>
      <c r="B34" s="93" t="s">
        <v>1</v>
      </c>
      <c r="C34" s="50" t="s">
        <v>838</v>
      </c>
      <c r="D34" s="51" t="s">
        <v>2</v>
      </c>
      <c r="E34" s="52" t="s">
        <v>3</v>
      </c>
      <c r="F34" s="53" t="s">
        <v>4</v>
      </c>
    </row>
    <row r="35" spans="1:24" ht="15" customHeight="1" x14ac:dyDescent="0.3">
      <c r="A35" s="91" t="str">
        <f t="shared" ref="A35" si="12">PROPER(TEXT(B35, "dddd"))</f>
        <v>Söndag</v>
      </c>
      <c r="B35" s="93">
        <f t="shared" ref="B35" si="13">Söndag10</f>
        <v>45725</v>
      </c>
      <c r="C35" s="46">
        <v>0.33333333333333331</v>
      </c>
      <c r="D35" s="54">
        <v>0.79166666666666663</v>
      </c>
      <c r="E35" s="55"/>
      <c r="F35" s="56" t="s">
        <v>425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7" spans="1:24" ht="15" customHeight="1" x14ac:dyDescent="0.3">
      <c r="C37" s="46"/>
      <c r="D37" s="47"/>
    </row>
    <row r="38" spans="1:24" ht="15" customHeight="1" x14ac:dyDescent="0.3">
      <c r="C38" s="46"/>
      <c r="D38" s="8"/>
    </row>
    <row r="39" spans="1:24" ht="15" customHeight="1" x14ac:dyDescent="0.3">
      <c r="C39" s="46"/>
      <c r="D39" s="8"/>
    </row>
  </sheetData>
  <sheetProtection algorithmName="SHA-512" hashValue="xvh26C4uTVNlF4wpNkTlIo5GU/cP4yc28uLwnW92gyr3n1pr5ybi8l8STEEnRX1Pq+cG2wtWtMeDJy+W5hxyRA==" saltValue="lWBcyF9WSVq0J1jpKaT6AA==" spinCount="100000" sheet="1" objects="1" scenarios="1" autoFilter="0" pivotTables="0"/>
  <sortState xmlns:xlrd2="http://schemas.microsoft.com/office/spreadsheetml/2017/richdata2" ref="A27:F31">
    <sortCondition ref="C27:C31"/>
  </sortState>
  <conditionalFormatting sqref="A13:A17 A21:A25 A27:A31 A6:A10 A3:A4 A19 A33 A35">
    <cfRule type="expression" dxfId="3284" priority="4">
      <formula>OR(IF($A2="Dag",1))</formula>
    </cfRule>
  </conditionalFormatting>
  <conditionalFormatting sqref="A6:A11 A27:A31 A3:B4 A13:B19 A21:B25 A33:B33 A35:B35">
    <cfRule type="cellIs" dxfId="3283" priority="1" operator="equal">
      <formula>"Datum"</formula>
    </cfRule>
    <cfRule type="cellIs" dxfId="3282" priority="2" operator="equal">
      <formula>"Dag"</formula>
    </cfRule>
  </conditionalFormatting>
  <conditionalFormatting sqref="A34">
    <cfRule type="expression" dxfId="3281" priority="22">
      <formula>OR(IF(#REF!="Dag",1))</formula>
    </cfRule>
  </conditionalFormatting>
  <conditionalFormatting sqref="A18">
    <cfRule type="expression" dxfId="3280" priority="232">
      <formula>OR(IF($A14="Dag",1))</formula>
    </cfRule>
  </conditionalFormatting>
  <conditionalFormatting sqref="A1:B2 A5:B5 B6:B11 A12:B12 A20:B20 A26:B26 B27:B31 A32:B32 A34:B34 A36:B1048576">
    <cfRule type="cellIs" dxfId="3279" priority="14" operator="equal">
      <formula>"Datum"</formula>
    </cfRule>
    <cfRule type="cellIs" dxfId="3278" priority="15" operator="equal">
      <formula>"Dag"</formula>
    </cfRule>
  </conditionalFormatting>
  <conditionalFormatting sqref="B3:B4 B19 B6:B10 B13:B17 B21:B25 B27:B31 B33 B35">
    <cfRule type="expression" dxfId="3277" priority="21">
      <formula>OR(IF($B2="Datum",1))</formula>
    </cfRule>
  </conditionalFormatting>
  <conditionalFormatting sqref="B18">
    <cfRule type="expression" dxfId="3276" priority="241">
      <formula>OR(IF($B14="Datum",1))</formula>
    </cfRule>
  </conditionalFormatting>
  <conditionalFormatting sqref="C3:E35">
    <cfRule type="expression" dxfId="3275" priority="18">
      <formula>OR(IF($E3="Hela hallen",1))</formula>
    </cfRule>
  </conditionalFormatting>
  <conditionalFormatting sqref="L1:T1048576">
    <cfRule type="cellIs" dxfId="3274" priority="13" operator="equal">
      <formula>"-"</formula>
    </cfRule>
  </conditionalFormatting>
  <conditionalFormatting sqref="A11">
    <cfRule type="expression" dxfId="3273" priority="518">
      <formula>OR(IF($A9="Dag",1))</formula>
    </cfRule>
  </conditionalFormatting>
  <conditionalFormatting sqref="B11">
    <cfRule type="expression" dxfId="3272" priority="521">
      <formula>OR(IF($B9="Datum",1))</formula>
    </cfRule>
  </conditionalFormatting>
  <conditionalFormatting sqref="C3:F35">
    <cfRule type="expression" dxfId="3271" priority="1935">
      <formula>OR(IF(#REF!=TRUE,1))</formula>
    </cfRule>
  </conditionalFormatting>
  <conditionalFormatting sqref="A5 A12 A20 A26 A32">
    <cfRule type="expression" dxfId="3270" priority="1936">
      <formula>OR(IF(#REF!="Dag",1))</formula>
    </cfRule>
  </conditionalFormatting>
  <conditionalFormatting sqref="B5 B12 B20 B26 B32 B34">
    <cfRule type="expression" dxfId="3269" priority="1937">
      <formula>OR(IF(#REF!="Datum",1))</formula>
    </cfRule>
  </conditionalFormatting>
  <printOptions horizontalCentered="1" verticalCentered="1"/>
  <pageMargins left="0.25" right="0.25" top="0.75" bottom="0.75" header="0.3" footer="0.3"/>
  <pageSetup paperSize="8" scale="26" orientation="portrait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0026D19-D373-4D58-A462-F6B6A6EE45A2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A13:A17 A21:A25 A6:B10 A3:B4 A19:B19 A33:B33 A35:B35 A27:B31</xm:sqref>
        </x14:conditionalFormatting>
        <x14:conditionalFormatting xmlns:xm="http://schemas.microsoft.com/office/excel/2006/main">
          <x14:cfRule type="expression" priority="231" id="{A0026D19-D373-4D58-A462-F6B6A6EE45A2}">
            <xm:f>AND(IF(ISERROR(MATCH($B18,Kalenderår!$A$3:$A$17,0)),FALSE,TRUE), IF($B14="Datum",TRUE,FALSE), IF($A14="Dag",TRUE,FALSE))</xm:f>
            <x14:dxf>
              <font>
                <color rgb="FFC00000"/>
              </font>
            </x14:dxf>
          </x14:cfRule>
          <xm:sqref>A18</xm:sqref>
        </x14:conditionalFormatting>
        <x14:conditionalFormatting xmlns:xm="http://schemas.microsoft.com/office/excel/2006/main">
          <x14:cfRule type="expression" priority="17" id="{EAD6F105-F834-48D8-A2AB-4476D4E3090C}">
            <xm:f>AND(IF(ISERROR(MATCH($B13,Kalenderår!$A$3:$A$17,0)),FALSE,TRUE), IF($B12="Datum",TRUE,FALSE), IF($A12="Dag",TRUE,FALSE))</xm:f>
            <x14:dxf>
              <font>
                <color rgb="FFC00000"/>
              </font>
            </x14:dxf>
          </x14:cfRule>
          <xm:sqref>B13:B17 B21:B25</xm:sqref>
        </x14:conditionalFormatting>
        <x14:conditionalFormatting xmlns:xm="http://schemas.microsoft.com/office/excel/2006/main">
          <x14:cfRule type="expression" priority="238" id="{EAD6F105-F834-48D8-A2AB-4476D4E3090C}">
            <xm:f>AND(IF(ISERROR(MATCH($B18,Kalenderår!$A$3:$A$17,0)),FALSE,TRUE), IF($B14="Datum",TRUE,FALSE), IF($A14="Dag",TRUE,FALSE))</xm:f>
            <x14:dxf>
              <font>
                <color rgb="FFC00000"/>
              </font>
            </x14:dxf>
          </x14:cfRule>
          <xm:sqref>B18</xm:sqref>
        </x14:conditionalFormatting>
        <x14:conditionalFormatting xmlns:xm="http://schemas.microsoft.com/office/excel/2006/main">
          <x14:cfRule type="expression" priority="524" id="{A0026D19-D373-4D58-A462-F6B6A6EE45A2}">
            <xm:f>AND(IF(ISERROR(MATCH($B11,Kalenderår!$A$3:$A$17,0)),FALSE,TRUE), IF($B9="Datum",TRUE,FALSE), IF($A9="Dag",TRUE,FALSE))</xm:f>
            <x14:dxf>
              <font>
                <color rgb="FFC00000"/>
              </font>
            </x14:dxf>
          </x14:cfRule>
          <xm:sqref>A11:B11</xm:sqref>
        </x14:conditionalFormatting>
        <x14:conditionalFormatting xmlns:xm="http://schemas.microsoft.com/office/excel/2006/main">
          <x14:cfRule type="expression" priority="1944" id="{EAD6F105-F834-48D8-A2AB-4476D4E3090C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 A12:B12 A20:B20 A26:B26 A32:B32 A34:B34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F19F32-09F2-4A6B-8F28-0F1380ABF976}">
          <x14:formula1>
            <xm:f>Kontaktuppgifter!$A$2:$A$300</xm:f>
          </x14:formula1>
          <xm:sqref>F6:F11 F27:F31 F3:F4 F13:F19 F21:F25 F33 F35</xm:sqref>
        </x14:dataValidation>
        <x14:dataValidation type="list" allowBlank="1" showInputMessage="1" showErrorMessage="1" xr:uid="{77F34E04-9E06-4875-BFE9-AB9B29B40B68}">
          <x14:formula1>
            <xm:f>Listor!$A$2:$A$150</xm:f>
          </x14:formula1>
          <xm:sqref>E6:E11 E27:E31 E3:E4 E13:E19 E21:E25 E33 E35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71E5-9C42-4FEC-BAB2-A79ABA2611BB}">
  <sheetPr codeName="Blad12">
    <pageSetUpPr fitToPage="1"/>
  </sheetPr>
  <dimension ref="A1:Y41"/>
  <sheetViews>
    <sheetView showGridLines="0" zoomScaleNormal="100" workbookViewId="0">
      <pane ySplit="2" topLeftCell="A18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Måndag11</f>
        <v>45726</v>
      </c>
      <c r="W1" s="39">
        <f>Söndag11</f>
        <v>45732</v>
      </c>
      <c r="X1" s="40">
        <f>WEEKNUM(Söndag11, 2)</f>
        <v>11</v>
      </c>
      <c r="Y1" s="41" t="str">
        <f>"V. "&amp;X1&amp;", "&amp;TEXT(V1,"D MMM")&amp;"-"&amp;TEXT(W1,"D MMM")</f>
        <v>V. 11, 10 mar-16 mar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>Måndag11</f>
        <v>45726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0.83333333333333337</v>
      </c>
      <c r="D4" s="47">
        <v>0.91666666666666663</v>
      </c>
      <c r="E4" s="48" t="s">
        <v>101</v>
      </c>
      <c r="F4" s="49" t="s">
        <v>792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91"/>
      <c r="B5" s="92"/>
      <c r="C5" s="46">
        <v>0.83333333333333337</v>
      </c>
      <c r="D5" s="47">
        <v>0.875</v>
      </c>
      <c r="E5" s="48" t="s">
        <v>97</v>
      </c>
      <c r="F5" s="49" t="s">
        <v>375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 t="str">
        <f t="shared" ref="A7" si="0">PROPER(TEXT(B7, "dddd"))</f>
        <v>Tisdag</v>
      </c>
      <c r="B7" s="93">
        <f t="shared" ref="B7" si="1">Tisdag11</f>
        <v>45727</v>
      </c>
      <c r="C7" s="46">
        <v>0.33333333333333331</v>
      </c>
      <c r="D7" s="54">
        <v>0.39583333333333331</v>
      </c>
      <c r="E7" s="55"/>
      <c r="F7" s="56" t="s">
        <v>522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0.375</v>
      </c>
      <c r="D8" s="54">
        <v>0.44791666666666669</v>
      </c>
      <c r="E8" s="55" t="s">
        <v>94</v>
      </c>
      <c r="F8" s="56" t="s">
        <v>521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0.5625</v>
      </c>
      <c r="D9" s="54">
        <v>0.64583333333333337</v>
      </c>
      <c r="E9" s="55"/>
      <c r="F9" s="56" t="s">
        <v>601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0.70833333333333337</v>
      </c>
      <c r="D10" s="54">
        <v>0.83333333333333337</v>
      </c>
      <c r="E10" s="55"/>
      <c r="F10" s="56" t="s">
        <v>887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0.83333333333333337</v>
      </c>
      <c r="D11" s="54">
        <v>0.91666666666666663</v>
      </c>
      <c r="E11" s="55" t="s">
        <v>101</v>
      </c>
      <c r="F11" s="56" t="s">
        <v>792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0.83333333333333337</v>
      </c>
      <c r="D12" s="54">
        <v>0.875</v>
      </c>
      <c r="E12" s="55" t="s">
        <v>89</v>
      </c>
      <c r="F12" s="56" t="s">
        <v>619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hidden="1" customHeight="1" x14ac:dyDescent="0.3">
      <c r="A13" s="91" t="s">
        <v>0</v>
      </c>
      <c r="B13" s="93" t="s">
        <v>1</v>
      </c>
      <c r="C13" s="50" t="s">
        <v>838</v>
      </c>
      <c r="D13" s="51" t="s">
        <v>2</v>
      </c>
      <c r="E13" s="52" t="s">
        <v>3</v>
      </c>
      <c r="F13" s="53" t="s">
        <v>4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 t="str">
        <f t="shared" ref="A14" si="2">PROPER(TEXT(B14, "dddd"))</f>
        <v>Onsdag</v>
      </c>
      <c r="B14" s="93">
        <f t="shared" ref="B14" si="3">Onsdag11</f>
        <v>45728</v>
      </c>
      <c r="C14" s="46">
        <v>0.375</v>
      </c>
      <c r="D14" s="54">
        <v>0.45833333333333331</v>
      </c>
      <c r="E14" s="55"/>
      <c r="F14" s="56" t="s">
        <v>752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0.375</v>
      </c>
      <c r="D15" s="54">
        <v>0.44791666666666669</v>
      </c>
      <c r="E15" s="55" t="s">
        <v>105</v>
      </c>
      <c r="F15" s="56" t="s">
        <v>325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0.41666666666666669</v>
      </c>
      <c r="D16" s="54">
        <v>0.5</v>
      </c>
      <c r="E16" s="55"/>
      <c r="F16" s="56" t="s">
        <v>657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0.55555555555555558</v>
      </c>
      <c r="D17" s="54">
        <v>0.63888888888888884</v>
      </c>
      <c r="E17" s="55"/>
      <c r="F17" s="56" t="s">
        <v>28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0.55555555555555558</v>
      </c>
      <c r="D18" s="54">
        <v>0.63888888888888884</v>
      </c>
      <c r="E18" s="55"/>
      <c r="F18" s="56" t="s">
        <v>791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0.70833333333333337</v>
      </c>
      <c r="D19" s="54">
        <v>0.83333333333333337</v>
      </c>
      <c r="E19" s="55"/>
      <c r="F19" s="56" t="s">
        <v>887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0.83333333333333337</v>
      </c>
      <c r="D20" s="54">
        <v>0.875</v>
      </c>
      <c r="E20" s="55" t="s">
        <v>98</v>
      </c>
      <c r="F20" s="56" t="s">
        <v>422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hidden="1" customHeight="1" x14ac:dyDescent="0.3">
      <c r="A21" s="91" t="s">
        <v>0</v>
      </c>
      <c r="B21" s="93" t="s">
        <v>1</v>
      </c>
      <c r="C21" s="50" t="s">
        <v>838</v>
      </c>
      <c r="D21" s="51" t="s">
        <v>2</v>
      </c>
      <c r="E21" s="52" t="s">
        <v>3</v>
      </c>
      <c r="F21" s="53" t="s">
        <v>4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 t="str">
        <f t="shared" ref="A22" si="4">PROPER(TEXT(B22, "dddd"))</f>
        <v>Torsdag</v>
      </c>
      <c r="B22" s="93">
        <f t="shared" ref="B22" si="5">Torsdag11</f>
        <v>45729</v>
      </c>
      <c r="C22" s="46">
        <v>0.375</v>
      </c>
      <c r="D22" s="54">
        <v>0.4375</v>
      </c>
      <c r="E22" s="55" t="s">
        <v>81</v>
      </c>
      <c r="F22" s="56" t="s">
        <v>521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0.41666666666666669</v>
      </c>
      <c r="D23" s="54">
        <v>0.5</v>
      </c>
      <c r="E23" s="55"/>
      <c r="F23" s="56" t="s">
        <v>252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0.5625</v>
      </c>
      <c r="D24" s="54">
        <v>0.64583333333333337</v>
      </c>
      <c r="E24" s="55"/>
      <c r="F24" s="56" t="s">
        <v>230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/>
      <c r="B25" s="93"/>
      <c r="C25" s="46">
        <v>0.70833333333333337</v>
      </c>
      <c r="D25" s="54">
        <v>0.83333333333333337</v>
      </c>
      <c r="E25" s="55"/>
      <c r="F25" s="56" t="s">
        <v>887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0.83333333333333337</v>
      </c>
      <c r="D26" s="54">
        <v>0.90625</v>
      </c>
      <c r="E26" s="55" t="s">
        <v>103</v>
      </c>
      <c r="F26" s="56" t="s">
        <v>746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hidden="1" customHeight="1" x14ac:dyDescent="0.3">
      <c r="A27" s="91" t="s">
        <v>0</v>
      </c>
      <c r="B27" s="93" t="s">
        <v>1</v>
      </c>
      <c r="C27" s="50" t="s">
        <v>838</v>
      </c>
      <c r="D27" s="51" t="s">
        <v>2</v>
      </c>
      <c r="E27" s="52" t="s">
        <v>3</v>
      </c>
      <c r="F27" s="53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 t="str">
        <f>PROPER(TEXT(B28, "dddd"))</f>
        <v>Fredag</v>
      </c>
      <c r="B28" s="93">
        <f>Fredag11</f>
        <v>45730</v>
      </c>
      <c r="C28" s="46">
        <v>0.375</v>
      </c>
      <c r="D28" s="54">
        <v>0.4375</v>
      </c>
      <c r="E28" s="55" t="s">
        <v>57</v>
      </c>
      <c r="F28" s="56" t="s">
        <v>521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0.41666666666666669</v>
      </c>
      <c r="D29" s="54">
        <v>0.5</v>
      </c>
      <c r="E29" s="55"/>
      <c r="F29" s="56" t="s">
        <v>643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91"/>
      <c r="B30" s="93"/>
      <c r="C30" s="46">
        <v>0.45833333333333331</v>
      </c>
      <c r="D30" s="54">
        <v>0.54166666666666663</v>
      </c>
      <c r="E30" s="55"/>
      <c r="F30" s="56" t="s">
        <v>815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91"/>
      <c r="B31" s="93"/>
      <c r="C31" s="46">
        <v>0.70833333333333337</v>
      </c>
      <c r="D31" s="54">
        <v>0.83333333333333337</v>
      </c>
      <c r="E31" s="55"/>
      <c r="F31" s="56" t="s">
        <v>887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hidden="1" customHeight="1" x14ac:dyDescent="0.3">
      <c r="A32" s="91" t="s">
        <v>0</v>
      </c>
      <c r="B32" s="93" t="s">
        <v>1</v>
      </c>
      <c r="C32" s="50" t="s">
        <v>838</v>
      </c>
      <c r="D32" s="51" t="s">
        <v>2</v>
      </c>
      <c r="E32" s="52" t="s">
        <v>3</v>
      </c>
      <c r="F32" s="53" t="s">
        <v>4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91" t="str">
        <f>PROPER(TEXT(B33, "dddd"))</f>
        <v>Lördag</v>
      </c>
      <c r="B33" s="93">
        <f>Lördag11</f>
        <v>45731</v>
      </c>
      <c r="C33" s="46">
        <v>0.375</v>
      </c>
      <c r="D33" s="54">
        <v>0.625</v>
      </c>
      <c r="E33" s="55"/>
      <c r="F33" s="56" t="s">
        <v>887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91"/>
      <c r="B34" s="93"/>
      <c r="C34" s="46">
        <v>0.625</v>
      </c>
      <c r="D34" s="54">
        <v>0.66666666666666663</v>
      </c>
      <c r="E34" s="55"/>
      <c r="F34" s="56" t="s">
        <v>575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91"/>
      <c r="B35" s="93"/>
      <c r="C35" s="46">
        <v>0.66666666666666663</v>
      </c>
      <c r="D35" s="54">
        <v>0.76041666666666663</v>
      </c>
      <c r="E35" s="55"/>
      <c r="F35" s="56" t="s">
        <v>861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hidden="1" customHeight="1" x14ac:dyDescent="0.3">
      <c r="A36" s="91" t="s">
        <v>0</v>
      </c>
      <c r="B36" s="93" t="s">
        <v>1</v>
      </c>
      <c r="C36" s="50" t="s">
        <v>838</v>
      </c>
      <c r="D36" s="51" t="s">
        <v>2</v>
      </c>
      <c r="E36" s="52" t="s">
        <v>3</v>
      </c>
      <c r="F36" s="53" t="s">
        <v>4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91" t="str">
        <f>PROPER(TEXT(B37, "dddd"))</f>
        <v>Söndag</v>
      </c>
      <c r="B37" s="93">
        <f>Söndag11</f>
        <v>45732</v>
      </c>
      <c r="C37" s="46">
        <v>0.375</v>
      </c>
      <c r="D37" s="54">
        <v>0.79166666666666663</v>
      </c>
      <c r="E37" s="55"/>
      <c r="F37" s="56" t="s">
        <v>887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9" spans="1:24" ht="15" customHeight="1" x14ac:dyDescent="0.3">
      <c r="C39" s="46"/>
      <c r="D39" s="47"/>
    </row>
    <row r="40" spans="1:24" ht="15" customHeight="1" x14ac:dyDescent="0.3">
      <c r="C40" s="46"/>
      <c r="D40" s="8"/>
    </row>
    <row r="41" spans="1:24" ht="15" customHeight="1" x14ac:dyDescent="0.3">
      <c r="C41" s="46"/>
      <c r="D41" s="8"/>
    </row>
  </sheetData>
  <sheetProtection algorithmName="SHA-512" hashValue="nKJPi1GmzMG9BnI78J4mzVwdAmKaKPLpMXaObJ9QORqpowlaymWHoRz/Is+TRrLLRQ+HS37yafHZ71FB52X5+g==" saltValue="lrlleW3KS+FhncU+Zj8hJw==" spinCount="100000" sheet="1" objects="1" scenarios="1" autoFilter="0" pivotTables="0"/>
  <sortState xmlns:xlrd2="http://schemas.microsoft.com/office/spreadsheetml/2017/richdata2" ref="A28:F31">
    <sortCondition ref="C28:C31"/>
  </sortState>
  <conditionalFormatting sqref="A14:A18 A22:A25 A28:A30 A33:A34 A37 A3:A4 A7:A11">
    <cfRule type="expression" dxfId="3206" priority="4">
      <formula>OR(IF($A2="Dag",1))</formula>
    </cfRule>
  </conditionalFormatting>
  <conditionalFormatting sqref="A28:B31 A33:B35 A37:B37 A22:B26 A7:B12 A14:B20 A3:B5">
    <cfRule type="cellIs" dxfId="3205" priority="1" operator="equal">
      <formula>"Datum"</formula>
    </cfRule>
    <cfRule type="cellIs" dxfId="3204" priority="2" operator="equal">
      <formula>"Dag"</formula>
    </cfRule>
  </conditionalFormatting>
  <conditionalFormatting sqref="A36">
    <cfRule type="expression" dxfId="3203" priority="22">
      <formula>OR(IF(#REF!="Dag",1))</formula>
    </cfRule>
  </conditionalFormatting>
  <conditionalFormatting sqref="A19">
    <cfRule type="expression" dxfId="3202" priority="261">
      <formula>OR(IF($A15="Dag",1))</formula>
    </cfRule>
  </conditionalFormatting>
  <conditionalFormatting sqref="A1:B2 A6:B6 A13:B13 A21:B21 A27:B27 A32:B32 A36:B36 A38:B1048576">
    <cfRule type="cellIs" dxfId="3201" priority="14" operator="equal">
      <formula>"Datum"</formula>
    </cfRule>
    <cfRule type="cellIs" dxfId="3200" priority="15" operator="equal">
      <formula>"Dag"</formula>
    </cfRule>
  </conditionalFormatting>
  <conditionalFormatting sqref="B3:B4 B7:B11 B14:B18 B22:B25 B28:B30 B33:B34 B37">
    <cfRule type="expression" dxfId="3199" priority="21">
      <formula>OR(IF($B2="Datum",1))</formula>
    </cfRule>
  </conditionalFormatting>
  <conditionalFormatting sqref="B19">
    <cfRule type="expression" dxfId="3198" priority="270">
      <formula>OR(IF($B15="Datum",1))</formula>
    </cfRule>
  </conditionalFormatting>
  <conditionalFormatting sqref="C3:E37">
    <cfRule type="expression" dxfId="3197" priority="18">
      <formula>OR(IF($E3="Hela hallen",1))</formula>
    </cfRule>
  </conditionalFormatting>
  <conditionalFormatting sqref="L1:T1048576">
    <cfRule type="cellIs" dxfId="3196" priority="13" operator="equal">
      <formula>"-"</formula>
    </cfRule>
  </conditionalFormatting>
  <conditionalFormatting sqref="A12">
    <cfRule type="expression" dxfId="3195" priority="526">
      <formula>OR(IF($A11="Dag",1))</formula>
    </cfRule>
  </conditionalFormatting>
  <conditionalFormatting sqref="B12">
    <cfRule type="expression" dxfId="3194" priority="528">
      <formula>OR(IF($B11="Datum",1))</formula>
    </cfRule>
  </conditionalFormatting>
  <conditionalFormatting sqref="A31 A35 A26 A5 A20">
    <cfRule type="expression" dxfId="3193" priority="745">
      <formula>OR(IF(#REF!="Dag",1))</formula>
    </cfRule>
  </conditionalFormatting>
  <conditionalFormatting sqref="B31 B35 B26 B5 B20">
    <cfRule type="expression" dxfId="3192" priority="756">
      <formula>OR(IF(#REF!="Datum",1))</formula>
    </cfRule>
  </conditionalFormatting>
  <conditionalFormatting sqref="C3:F37">
    <cfRule type="expression" dxfId="3191" priority="1946">
      <formula>OR(IF(#REF!=TRUE,1))</formula>
    </cfRule>
  </conditionalFormatting>
  <conditionalFormatting sqref="A6 A13 A21 A27 A32">
    <cfRule type="expression" dxfId="3190" priority="1947">
      <formula>OR(IF(#REF!="Dag",1))</formula>
    </cfRule>
  </conditionalFormatting>
  <conditionalFormatting sqref="B6 B13 B21 B27 B32 B36">
    <cfRule type="expression" dxfId="3189" priority="1949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6D9C333-92C5-4DC8-8236-2CDD7DC9A837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A14:A18 A28:B30 A33:B34 A37:B37 A22:B25 A3:B4 A7:B12</xm:sqref>
        </x14:conditionalFormatting>
        <x14:conditionalFormatting xmlns:xm="http://schemas.microsoft.com/office/excel/2006/main">
          <x14:cfRule type="expression" priority="260" id="{46D9C333-92C5-4DC8-8236-2CDD7DC9A837}">
            <xm:f>AND(IF(ISERROR(MATCH($B19,Kalenderår!$A$3:$A$17,0)),FALSE,TRUE), IF($B15="Datum",TRUE,FALSE), IF($A15="Dag",TRUE,FALSE))</xm:f>
            <x14:dxf>
              <font>
                <color rgb="FFC00000"/>
              </font>
            </x14:dxf>
          </x14:cfRule>
          <xm:sqref>A19</xm:sqref>
        </x14:conditionalFormatting>
        <x14:conditionalFormatting xmlns:xm="http://schemas.microsoft.com/office/excel/2006/main">
          <x14:cfRule type="expression" priority="17" id="{8ABA91B7-66CC-44C3-81BE-DBB2DC3795E7}">
            <xm:f>AND(IF(ISERROR(MATCH($B14,Kalenderår!$A$3:$A$17,0)),FALSE,TRUE), IF($B13="Datum",TRUE,FALSE), IF($A13="Dag",TRUE,FALSE))</xm:f>
            <x14:dxf>
              <font>
                <color rgb="FFC00000"/>
              </font>
            </x14:dxf>
          </x14:cfRule>
          <xm:sqref>B14:B18</xm:sqref>
        </x14:conditionalFormatting>
        <x14:conditionalFormatting xmlns:xm="http://schemas.microsoft.com/office/excel/2006/main">
          <x14:cfRule type="expression" priority="267" id="{8ABA91B7-66CC-44C3-81BE-DBB2DC3795E7}">
            <xm:f>AND(IF(ISERROR(MATCH($B19,Kalenderår!$A$3:$A$17,0)),FALSE,TRUE), IF($B15="Datum",TRUE,FALSE), IF($A15="Dag",TRUE,FALSE))</xm:f>
            <x14:dxf>
              <font>
                <color rgb="FFC00000"/>
              </font>
            </x14:dxf>
          </x14:cfRule>
          <xm:sqref>B19</xm:sqref>
        </x14:conditionalFormatting>
        <x14:conditionalFormatting xmlns:xm="http://schemas.microsoft.com/office/excel/2006/main">
          <x14:cfRule type="expression" priority="766" id="{46D9C333-92C5-4DC8-8236-2CDD7DC9A837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A31:B31 A35:B35 A26:B26 A5:B5 A20:B20</xm:sqref>
        </x14:conditionalFormatting>
        <x14:conditionalFormatting xmlns:xm="http://schemas.microsoft.com/office/excel/2006/main">
          <x14:cfRule type="expression" priority="1956" id="{46D9C333-92C5-4DC8-8236-2CDD7DC9A837}">
            <xm:f>AND(IF(ISERROR(MATCH($B6,Kalenderår!$A$3:$A$17,0)),FALSE,TRUE), IF(#REF!="Datum",TRUE,FALSE), IF(#REF!="Dag",TRUE,FALSE))</xm:f>
            <x14:dxf>
              <font>
                <color rgb="FFC00000"/>
              </font>
            </x14:dxf>
          </x14:cfRule>
          <xm:sqref>A6:B6 A13:B13 A21:B21 A27:B27 A32:B32 A36:B36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57E07A2-C4F1-4B11-9C2E-AEF73B726514}">
          <x14:formula1>
            <xm:f>Listor!$A$2:$A$150</xm:f>
          </x14:formula1>
          <xm:sqref>E28:E31 E33:E35 E37 E22:E26 E7:E12 E14:E20 E3:E5</xm:sqref>
        </x14:dataValidation>
        <x14:dataValidation type="list" allowBlank="1" showInputMessage="1" showErrorMessage="1" xr:uid="{7F13A1BB-E43D-4437-8BE4-DB723B1B2233}">
          <x14:formula1>
            <xm:f>Kontaktuppgifter!$A$2:$A$300</xm:f>
          </x14:formula1>
          <xm:sqref>F28:F31 F33:F35 F37 F22:F26 F7:F12 F14:F20 F3:F5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C47C-31C9-40B6-B9C6-3832F9A93B38}">
  <sheetPr codeName="Blad13">
    <pageSetUpPr fitToPage="1"/>
  </sheetPr>
  <dimension ref="A1:Y41"/>
  <sheetViews>
    <sheetView showGridLines="0" zoomScaleNormal="100" workbookViewId="0">
      <pane ySplit="2" topLeftCell="A3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60" style="8" customWidth="1"/>
    <col min="8" max="8" width="13.6640625" style="38" customWidth="1"/>
    <col min="9" max="9" width="30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Måndag12</f>
        <v>45733</v>
      </c>
      <c r="W1" s="39">
        <f>Söndag12</f>
        <v>45739</v>
      </c>
      <c r="X1" s="40">
        <f>WEEKNUM(Söndag12, 2)</f>
        <v>12</v>
      </c>
      <c r="Y1" s="41" t="str">
        <f>"V. "&amp;X1&amp;", "&amp;TEXT(V1,"D MMM")&amp;"-"&amp;TEXT(W1,"D MMM")</f>
        <v>V. 12, 17 mar-23 mar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Måndag12</f>
        <v>45733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0.83333333333333337</v>
      </c>
      <c r="D4" s="47">
        <v>0.875</v>
      </c>
      <c r="E4" s="48" t="s">
        <v>97</v>
      </c>
      <c r="F4" s="49" t="s">
        <v>375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s="10" customFormat="1" ht="20.100000000000001" hidden="1" customHeight="1" x14ac:dyDescent="0.3">
      <c r="A5" s="91" t="s">
        <v>0</v>
      </c>
      <c r="B5" s="93" t="s">
        <v>1</v>
      </c>
      <c r="C5" s="50" t="s">
        <v>838</v>
      </c>
      <c r="D5" s="51" t="s">
        <v>2</v>
      </c>
      <c r="E5" s="52" t="s">
        <v>3</v>
      </c>
      <c r="F5" s="53" t="s">
        <v>4</v>
      </c>
    </row>
    <row r="6" spans="1:25" ht="15" customHeight="1" x14ac:dyDescent="0.3">
      <c r="A6" s="91" t="str">
        <f t="shared" ref="A6" si="2">PROPER(TEXT(B6, "dddd"))</f>
        <v>Tisdag</v>
      </c>
      <c r="B6" s="93">
        <f t="shared" ref="B6" si="3">Tisdag12</f>
        <v>45734</v>
      </c>
      <c r="C6" s="46">
        <v>0.33333333333333331</v>
      </c>
      <c r="D6" s="54">
        <v>0.39583333333333331</v>
      </c>
      <c r="E6" s="55"/>
      <c r="F6" s="56" t="s">
        <v>522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0.375</v>
      </c>
      <c r="D7" s="54">
        <v>0.44791666666666669</v>
      </c>
      <c r="E7" s="55" t="s">
        <v>94</v>
      </c>
      <c r="F7" s="56" t="s">
        <v>521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0.5625</v>
      </c>
      <c r="D8" s="54">
        <v>0.64583333333333337</v>
      </c>
      <c r="E8" s="55"/>
      <c r="F8" s="56" t="s">
        <v>601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0.70833333333333337</v>
      </c>
      <c r="D9" s="54">
        <v>0.83333333333333337</v>
      </c>
      <c r="E9" s="55"/>
      <c r="F9" s="56" t="s">
        <v>887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0.83333333333333337</v>
      </c>
      <c r="D10" s="54">
        <v>0.875</v>
      </c>
      <c r="E10" s="55" t="s">
        <v>99</v>
      </c>
      <c r="F10" s="56" t="s">
        <v>900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s="10" customFormat="1" ht="20.100000000000001" hidden="1" customHeight="1" x14ac:dyDescent="0.3">
      <c r="A11" s="91" t="s">
        <v>0</v>
      </c>
      <c r="B11" s="93" t="s">
        <v>1</v>
      </c>
      <c r="C11" s="50" t="s">
        <v>838</v>
      </c>
      <c r="D11" s="51" t="s">
        <v>2</v>
      </c>
      <c r="E11" s="52" t="s">
        <v>3</v>
      </c>
      <c r="F11" s="53" t="s">
        <v>4</v>
      </c>
    </row>
    <row r="12" spans="1:25" ht="15" customHeight="1" x14ac:dyDescent="0.3">
      <c r="A12" s="91" t="str">
        <f t="shared" ref="A12" si="4">PROPER(TEXT(B12, "dddd"))</f>
        <v>Onsdag</v>
      </c>
      <c r="B12" s="93">
        <f t="shared" ref="B12" si="5">Onsdag12</f>
        <v>45735</v>
      </c>
      <c r="C12" s="46">
        <v>0.375</v>
      </c>
      <c r="D12" s="54">
        <v>0.45833333333333331</v>
      </c>
      <c r="E12" s="55"/>
      <c r="F12" s="56" t="s">
        <v>752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0.375</v>
      </c>
      <c r="D13" s="54">
        <v>0.44791666666666669</v>
      </c>
      <c r="E13" s="55">
        <v>35</v>
      </c>
      <c r="F13" s="56" t="s">
        <v>325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0.41666666666666669</v>
      </c>
      <c r="D14" s="54">
        <v>0.5</v>
      </c>
      <c r="E14" s="55"/>
      <c r="F14" s="56" t="s">
        <v>657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0.55555555555555558</v>
      </c>
      <c r="D15" s="54">
        <v>0.63888888888888884</v>
      </c>
      <c r="E15" s="55"/>
      <c r="F15" s="56" t="s">
        <v>28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0.55555555555555558</v>
      </c>
      <c r="D16" s="54">
        <v>0.63888888888888884</v>
      </c>
      <c r="E16" s="55"/>
      <c r="F16" s="56" t="s">
        <v>791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0.70833333333333337</v>
      </c>
      <c r="D17" s="54">
        <v>0.83333333333333337</v>
      </c>
      <c r="E17" s="55"/>
      <c r="F17" s="56" t="s">
        <v>887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0.83333333333333337</v>
      </c>
      <c r="D18" s="54">
        <v>0.875</v>
      </c>
      <c r="E18" s="55" t="s">
        <v>98</v>
      </c>
      <c r="F18" s="56" t="s">
        <v>422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hidden="1" customHeight="1" x14ac:dyDescent="0.3">
      <c r="A19" s="91" t="s">
        <v>0</v>
      </c>
      <c r="B19" s="93" t="s">
        <v>1</v>
      </c>
      <c r="C19" s="50" t="s">
        <v>838</v>
      </c>
      <c r="D19" s="51" t="s">
        <v>2</v>
      </c>
      <c r="E19" s="52" t="s">
        <v>3</v>
      </c>
      <c r="F19" s="53" t="s">
        <v>4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 t="str">
        <f t="shared" ref="A20" si="6">PROPER(TEXT(B20, "dddd"))</f>
        <v>Torsdag</v>
      </c>
      <c r="B20" s="93">
        <f t="shared" ref="B20" si="7">Torsdag12</f>
        <v>45736</v>
      </c>
      <c r="C20" s="46">
        <v>0.375</v>
      </c>
      <c r="D20" s="54">
        <v>0.4375</v>
      </c>
      <c r="E20" s="55" t="s">
        <v>81</v>
      </c>
      <c r="F20" s="56" t="s">
        <v>521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/>
      <c r="B21" s="93"/>
      <c r="C21" s="46">
        <v>0.41666666666666669</v>
      </c>
      <c r="D21" s="54">
        <v>0.5</v>
      </c>
      <c r="E21" s="55"/>
      <c r="F21" s="56" t="s">
        <v>252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0.5625</v>
      </c>
      <c r="D22" s="54">
        <v>0.64583333333333337</v>
      </c>
      <c r="E22" s="55"/>
      <c r="F22" s="56" t="s">
        <v>230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0.70833333333333337</v>
      </c>
      <c r="D23" s="54">
        <v>0.83333333333333337</v>
      </c>
      <c r="E23" s="55"/>
      <c r="F23" s="56" t="s">
        <v>887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0.77083333333333337</v>
      </c>
      <c r="D24" s="54">
        <v>0.85416666666666663</v>
      </c>
      <c r="E24" s="55"/>
      <c r="F24" s="56" t="s">
        <v>866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hidden="1" customHeight="1" x14ac:dyDescent="0.3">
      <c r="A25" s="91" t="s">
        <v>0</v>
      </c>
      <c r="B25" s="93" t="s">
        <v>1</v>
      </c>
      <c r="C25" s="50" t="s">
        <v>838</v>
      </c>
      <c r="D25" s="51" t="s">
        <v>2</v>
      </c>
      <c r="E25" s="52" t="s">
        <v>3</v>
      </c>
      <c r="F25" s="53" t="s">
        <v>4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 t="str">
        <f t="shared" ref="A26" si="8">PROPER(TEXT(B26, "dddd"))</f>
        <v>Fredag</v>
      </c>
      <c r="B26" s="93">
        <f t="shared" ref="B26" si="9">Fredag12</f>
        <v>45737</v>
      </c>
      <c r="C26" s="46">
        <v>0.375</v>
      </c>
      <c r="D26" s="54">
        <v>0.4375</v>
      </c>
      <c r="E26" s="55" t="s">
        <v>57</v>
      </c>
      <c r="F26" s="56" t="s">
        <v>521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/>
      <c r="B27" s="93"/>
      <c r="C27" s="46">
        <v>0.41666666666666669</v>
      </c>
      <c r="D27" s="54">
        <v>0.5</v>
      </c>
      <c r="E27" s="55"/>
      <c r="F27" s="56" t="s">
        <v>643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0.45833333333333331</v>
      </c>
      <c r="D28" s="54">
        <v>0.54166666666666663</v>
      </c>
      <c r="E28" s="55"/>
      <c r="F28" s="56" t="s">
        <v>815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0.70833333333333337</v>
      </c>
      <c r="D29" s="54">
        <v>0.83333333333333337</v>
      </c>
      <c r="E29" s="55"/>
      <c r="F29" s="56" t="s">
        <v>887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hidden="1" customHeight="1" x14ac:dyDescent="0.3">
      <c r="A30" s="91" t="s">
        <v>0</v>
      </c>
      <c r="B30" s="93" t="s">
        <v>1</v>
      </c>
      <c r="C30" s="50" t="s">
        <v>838</v>
      </c>
      <c r="D30" s="51" t="s">
        <v>2</v>
      </c>
      <c r="E30" s="52" t="s">
        <v>3</v>
      </c>
      <c r="F30" s="53" t="s">
        <v>4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91" t="str">
        <f t="shared" ref="A31" si="10">PROPER(TEXT(B31, "dddd"))</f>
        <v>Lördag</v>
      </c>
      <c r="B31" s="93">
        <f t="shared" ref="B31" si="11">Lördag12</f>
        <v>45738</v>
      </c>
      <c r="C31" s="46">
        <v>0.375</v>
      </c>
      <c r="D31" s="54">
        <v>0.625</v>
      </c>
      <c r="E31" s="55"/>
      <c r="F31" s="56" t="s">
        <v>887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91"/>
      <c r="B32" s="93"/>
      <c r="C32" s="46">
        <v>0.58333333333333337</v>
      </c>
      <c r="D32" s="54">
        <v>0.625</v>
      </c>
      <c r="E32" s="55">
        <v>8</v>
      </c>
      <c r="F32" s="56" t="s">
        <v>879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91"/>
      <c r="B33" s="93"/>
      <c r="C33" s="46">
        <v>0.625</v>
      </c>
      <c r="D33" s="54">
        <v>0.66666666666666663</v>
      </c>
      <c r="E33" s="55"/>
      <c r="F33" s="56" t="s">
        <v>575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91"/>
      <c r="B34" s="93"/>
      <c r="C34" s="46">
        <v>0.67708333333333337</v>
      </c>
      <c r="D34" s="54">
        <v>0.80208333333333337</v>
      </c>
      <c r="E34" s="55"/>
      <c r="F34" s="56" t="s">
        <v>847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hidden="1" customHeight="1" x14ac:dyDescent="0.3">
      <c r="A35" s="91" t="s">
        <v>0</v>
      </c>
      <c r="B35" s="93" t="s">
        <v>1</v>
      </c>
      <c r="C35" s="50" t="s">
        <v>838</v>
      </c>
      <c r="D35" s="51" t="s">
        <v>2</v>
      </c>
      <c r="E35" s="52" t="s">
        <v>3</v>
      </c>
      <c r="F35" s="53" t="s">
        <v>4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91" t="str">
        <f t="shared" ref="A36" si="12">PROPER(TEXT(B36, "dddd"))</f>
        <v>Söndag</v>
      </c>
      <c r="B36" s="93">
        <f t="shared" ref="B36" si="13">Söndag12</f>
        <v>45739</v>
      </c>
      <c r="C36" s="46">
        <v>0.39583333333333331</v>
      </c>
      <c r="D36" s="54">
        <v>0.54166666666666663</v>
      </c>
      <c r="E36" s="55"/>
      <c r="F36" s="56" t="s">
        <v>701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91"/>
      <c r="B37" s="93"/>
      <c r="C37" s="46">
        <v>0.54166666666666663</v>
      </c>
      <c r="D37" s="54">
        <v>0.79166666666666663</v>
      </c>
      <c r="E37" s="55"/>
      <c r="F37" s="56" t="s">
        <v>887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9" spans="1:24" ht="15" customHeight="1" x14ac:dyDescent="0.3">
      <c r="C39" s="46"/>
      <c r="D39" s="47"/>
    </row>
    <row r="40" spans="1:24" ht="15" customHeight="1" x14ac:dyDescent="0.3">
      <c r="C40" s="46"/>
      <c r="D40" s="8"/>
    </row>
    <row r="41" spans="1:24" ht="15" customHeight="1" x14ac:dyDescent="0.3">
      <c r="C41" s="46"/>
      <c r="D41" s="8"/>
    </row>
  </sheetData>
  <sheetProtection algorithmName="SHA-512" hashValue="/KHjqXQafVr0yd+hcwfHM4n5JKUuvqIsw+vuU+8YCP7x5v4ihSwkKu17AetbrZrzIcUyKIPwexhrBuFbNQvKyA==" saltValue="Kstjbr1h8L3TEzBKmyFV0w==" spinCount="100000" sheet="1" objects="1" scenarios="1" autoFilter="0" pivotTables="0"/>
  <sortState xmlns:xlrd2="http://schemas.microsoft.com/office/spreadsheetml/2017/richdata2" ref="A26:F29">
    <sortCondition ref="C26:C29"/>
  </sortState>
  <conditionalFormatting sqref="A12:A17 A26:A29 A31:A34 A36:A37 A4 A6 A8:A9 A19:A21 A23">
    <cfRule type="expression" dxfId="3126" priority="5">
      <formula>OR(IF($A3="Dag",1))</formula>
    </cfRule>
  </conditionalFormatting>
  <conditionalFormatting sqref="A26:A29 A31:A34 A12:A18 A36:B37 A3:B4 A6:B10 A20:B24">
    <cfRule type="cellIs" dxfId="3125" priority="2" operator="equal">
      <formula>"Datum"</formula>
    </cfRule>
    <cfRule type="cellIs" dxfId="3124" priority="3" operator="equal">
      <formula>"Dag"</formula>
    </cfRule>
  </conditionalFormatting>
  <conditionalFormatting sqref="A35">
    <cfRule type="expression" dxfId="3123" priority="23">
      <formula>OR(IF(#REF!="Dag",1))</formula>
    </cfRule>
  </conditionalFormatting>
  <conditionalFormatting sqref="A10 A18">
    <cfRule type="expression" dxfId="3122" priority="279">
      <formula>OR(IF($A8="Dag",1))</formula>
    </cfRule>
  </conditionalFormatting>
  <conditionalFormatting sqref="A24">
    <cfRule type="expression" dxfId="3121" priority="291">
      <formula>OR(IF($A21="Dag",1))</formula>
    </cfRule>
  </conditionalFormatting>
  <conditionalFormatting sqref="A1:B2 A5:B5 A11:B11 A19:B19 A25:B25 B26:B29 A30:B30 B31:B34 A35:B35 A38:B1048576 B12:B18">
    <cfRule type="cellIs" dxfId="3120" priority="15" operator="equal">
      <formula>"Datum"</formula>
    </cfRule>
    <cfRule type="cellIs" dxfId="3119" priority="16" operator="equal">
      <formula>"Dag"</formula>
    </cfRule>
  </conditionalFormatting>
  <conditionalFormatting sqref="B4 B6 B8:B9 B12:B17 B19:B21 B23 B26:B29 B31:B34 B36:B37">
    <cfRule type="expression" dxfId="3118" priority="22">
      <formula>OR(IF($B3="Datum",1))</formula>
    </cfRule>
  </conditionalFormatting>
  <conditionalFormatting sqref="B10 B18">
    <cfRule type="expression" dxfId="3117" priority="283">
      <formula>OR(IF($B8="Datum",1))</formula>
    </cfRule>
  </conditionalFormatting>
  <conditionalFormatting sqref="B24">
    <cfRule type="expression" dxfId="3116" priority="300">
      <formula>OR(IF($B21="Datum",1))</formula>
    </cfRule>
  </conditionalFormatting>
  <conditionalFormatting sqref="C3:E37">
    <cfRule type="expression" dxfId="3115" priority="19">
      <formula>OR(IF($E3="Hela hallen",1))</formula>
    </cfRule>
  </conditionalFormatting>
  <conditionalFormatting sqref="L1:T1048576">
    <cfRule type="cellIs" dxfId="3114" priority="14" operator="equal">
      <formula>"-"</formula>
    </cfRule>
  </conditionalFormatting>
  <conditionalFormatting sqref="A3 A5 A7 A11 A22 A25 A30">
    <cfRule type="expression" dxfId="3113" priority="1958">
      <formula>OR(IF(#REF!="Dag",1))</formula>
    </cfRule>
  </conditionalFormatting>
  <conditionalFormatting sqref="B3 B5 B7 B11 B22 B25 B30 B35">
    <cfRule type="expression" dxfId="3112" priority="1969">
      <formula>OR(IF(#REF!="Datum",1))</formula>
    </cfRule>
  </conditionalFormatting>
  <conditionalFormatting sqref="C3:F37">
    <cfRule type="expression" dxfId="3111" priority="1981">
      <formula>OR(IF(#REF!=TRUE,1))</formula>
    </cfRule>
  </conditionalFormatting>
  <printOptions horizontalCentered="1" verticalCentered="1"/>
  <pageMargins left="0.25" right="0.25" top="0.75" bottom="0.75" header="0.3" footer="0.3"/>
  <pageSetup paperSize="9" scale="24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17261DA-695E-43CE-A2DB-305976285C0B}">
            <xm:f>AND(IF(ISERROR(MATCH($B4,Kalenderår!$A$3:$A$17,0)),FALSE,TRUE), IF($B3="Datum",TRUE,FALSE), IF($A3="Dag",TRUE,FALSE))</xm:f>
            <x14:dxf>
              <font>
                <color rgb="FFC00000"/>
              </font>
            </x14:dxf>
          </x14:cfRule>
          <xm:sqref>A12:A17 A36:B37 A4:B4 A6:B6 A8:B9 A19:B21 A23:B23 A26:B29 A31:B34</xm:sqref>
        </x14:conditionalFormatting>
        <x14:conditionalFormatting xmlns:xm="http://schemas.microsoft.com/office/excel/2006/main">
          <x14:cfRule type="expression" priority="278" id="{117261DA-695E-43CE-A2DB-305976285C0B}">
            <xm:f>AND(IF(ISERROR(MATCH($B10,Kalenderår!$A$3:$A$17,0)),FALSE,TRUE), IF($B8="Datum",TRUE,FALSE), IF($A8="Dag",TRUE,FALSE))</xm:f>
            <x14:dxf>
              <font>
                <color rgb="FFC00000"/>
              </font>
            </x14:dxf>
          </x14:cfRule>
          <xm:sqref>A10:B10 A18:B18</xm:sqref>
        </x14:conditionalFormatting>
        <x14:conditionalFormatting xmlns:xm="http://schemas.microsoft.com/office/excel/2006/main">
          <x14:cfRule type="expression" priority="18" id="{84CAEBA6-69E2-429E-AA08-A0BFEA340FCC}">
            <xm:f>AND(IF(ISERROR(MATCH($B12,Kalenderår!$A$3:$A$17,0)),FALSE,TRUE), IF($B11="Datum",TRUE,FALSE), IF($A11="Dag",TRUE,FALSE))</xm:f>
            <x14:dxf>
              <font>
                <color rgb="FFC00000"/>
              </font>
            </x14:dxf>
          </x14:cfRule>
          <xm:sqref>B12:B17</xm:sqref>
        </x14:conditionalFormatting>
        <x14:conditionalFormatting xmlns:xm="http://schemas.microsoft.com/office/excel/2006/main">
          <x14:cfRule type="expression" priority="1979" id="{117261DA-695E-43CE-A2DB-305976285C0B}">
            <xm:f>AND(IF(ISERROR(MATCH($B3,Kalenderår!$A$3:$A$17,0)),FALSE,TRUE), IF(#REF!="Datum",TRUE,FALSE), IF(#REF!="Dag",TRUE,FALSE))</xm:f>
            <x14:dxf>
              <font>
                <color rgb="FFC00000"/>
              </font>
            </x14:dxf>
          </x14:cfRule>
          <xm:sqref>A3:B3 A5:B5 A7:B7 A11:B11 A22:B22 A25:B25 A30:B30 A35:B35</xm:sqref>
        </x14:conditionalFormatting>
        <x14:conditionalFormatting xmlns:xm="http://schemas.microsoft.com/office/excel/2006/main">
          <x14:cfRule type="expression" priority="2002" id="{117261DA-695E-43CE-A2DB-305976285C0B}">
            <xm:f>AND(IF(ISERROR(MATCH($B24,Kalenderår!$A$3:$A$17,0)),FALSE,TRUE), IF($B21="Datum",TRUE,FALSE), IF($A21="Dag",TRUE,FALSE))</xm:f>
            <x14:dxf>
              <font>
                <color rgb="FFC00000"/>
              </font>
            </x14:dxf>
          </x14:cfRule>
          <xm:sqref>A24:B24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665250-0483-4AC8-AE32-4F994B72A6E5}">
          <x14:formula1>
            <xm:f>Kontaktuppgifter!$A$2:$A$300</xm:f>
          </x14:formula1>
          <xm:sqref>F26:F29 F31:F34 F12:F18 F36:F37 F3:F4 F6:F10 F20:F24</xm:sqref>
        </x14:dataValidation>
        <x14:dataValidation type="list" allowBlank="1" showInputMessage="1" showErrorMessage="1" xr:uid="{08F51644-77CA-4209-B92F-E99DF265701C}">
          <x14:formula1>
            <xm:f>Listor!$A$2:$A$150</xm:f>
          </x14:formula1>
          <xm:sqref>E26:E29 E31:E34 E12:E18 E36:E37 E3:E4 E6:E10 E20:E24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D6F5-D7DA-4A6E-8E21-D048771282C4}">
  <sheetPr codeName="Blad14">
    <pageSetUpPr fitToPage="1"/>
  </sheetPr>
  <dimension ref="A1:Y45"/>
  <sheetViews>
    <sheetView showGridLines="0" zoomScaleNormal="100" workbookViewId="0">
      <pane ySplit="2" topLeftCell="A26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8.88671875" style="8" bestFit="1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Måndag13</f>
        <v>45740</v>
      </c>
      <c r="W1" s="39">
        <f>Söndag13</f>
        <v>45746</v>
      </c>
      <c r="X1" s="40">
        <f>WEEKNUM(Söndag13, 2)</f>
        <v>13</v>
      </c>
      <c r="Y1" s="41" t="str">
        <f>"V. "&amp;X1&amp;", "&amp;TEXT(V1,"D MMM")&amp;"-"&amp;TEXT(W1,"D MMM")</f>
        <v>V. 13, 24 mar-30 mar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Måndag13</f>
        <v>45740</v>
      </c>
      <c r="C3" s="46">
        <v>0.5</v>
      </c>
      <c r="D3" s="47">
        <v>0.54166666666666663</v>
      </c>
      <c r="E3" s="48">
        <v>2</v>
      </c>
      <c r="F3" s="49" t="s">
        <v>570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0.60416666666666663</v>
      </c>
      <c r="D4" s="47">
        <v>0.64583333333333337</v>
      </c>
      <c r="E4" s="48" t="s">
        <v>101</v>
      </c>
      <c r="F4" s="49" t="s">
        <v>555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91"/>
      <c r="B5" s="92"/>
      <c r="C5" s="46">
        <v>0.6875</v>
      </c>
      <c r="D5" s="47">
        <v>0.72916666666666663</v>
      </c>
      <c r="E5" s="48">
        <v>8</v>
      </c>
      <c r="F5" s="49" t="s">
        <v>367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2"/>
      <c r="C6" s="46">
        <v>0.70833333333333337</v>
      </c>
      <c r="D6" s="47">
        <v>0.83333333333333337</v>
      </c>
      <c r="E6" s="48"/>
      <c r="F6" s="49" t="s">
        <v>887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2"/>
      <c r="C7" s="46">
        <v>0.83333333333333337</v>
      </c>
      <c r="D7" s="47">
        <v>0.875</v>
      </c>
      <c r="E7" s="48" t="s">
        <v>97</v>
      </c>
      <c r="F7" s="49" t="s">
        <v>375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 t="str">
        <f t="shared" ref="A9" si="2">PROPER(TEXT(B9, "dddd"))</f>
        <v>Tisdag</v>
      </c>
      <c r="B9" s="93">
        <f t="shared" ref="B9" si="3">Tisdag13</f>
        <v>45741</v>
      </c>
      <c r="C9" s="46">
        <v>0.33333333333333331</v>
      </c>
      <c r="D9" s="54">
        <v>0.39583333333333331</v>
      </c>
      <c r="E9" s="55"/>
      <c r="F9" s="56" t="s">
        <v>522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0.375</v>
      </c>
      <c r="D10" s="54">
        <v>0.44791666666666669</v>
      </c>
      <c r="E10" s="55" t="s">
        <v>94</v>
      </c>
      <c r="F10" s="56" t="s">
        <v>521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0.45833333333333331</v>
      </c>
      <c r="D11" s="54">
        <v>0.52083333333333337</v>
      </c>
      <c r="E11" s="55">
        <v>2</v>
      </c>
      <c r="F11" s="56" t="s">
        <v>570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0.5625</v>
      </c>
      <c r="D12" s="54">
        <v>0.64583333333333337</v>
      </c>
      <c r="E12" s="55"/>
      <c r="F12" s="56" t="s">
        <v>601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s="10" customFormat="1" ht="15" customHeight="1" x14ac:dyDescent="0.3">
      <c r="A13" s="91"/>
      <c r="B13" s="93"/>
      <c r="C13" s="46">
        <v>0.70833333333333337</v>
      </c>
      <c r="D13" s="54">
        <v>0.83333333333333337</v>
      </c>
      <c r="E13" s="55"/>
      <c r="F13" s="56" t="s">
        <v>887</v>
      </c>
    </row>
    <row r="14" spans="1:25" ht="15" customHeight="1" x14ac:dyDescent="0.3">
      <c r="A14" s="91"/>
      <c r="B14" s="93"/>
      <c r="C14" s="46">
        <v>0.83333333333333337</v>
      </c>
      <c r="D14" s="54">
        <v>0.875</v>
      </c>
      <c r="E14" s="55" t="s">
        <v>99</v>
      </c>
      <c r="F14" s="56" t="s">
        <v>900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hidden="1" customHeight="1" x14ac:dyDescent="0.3">
      <c r="A15" s="91" t="s">
        <v>0</v>
      </c>
      <c r="B15" s="93" t="s">
        <v>1</v>
      </c>
      <c r="C15" s="50" t="s">
        <v>838</v>
      </c>
      <c r="D15" s="51" t="s">
        <v>2</v>
      </c>
      <c r="E15" s="52" t="s">
        <v>3</v>
      </c>
      <c r="F15" s="53" t="s">
        <v>4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 t="str">
        <f t="shared" ref="A16" si="4">PROPER(TEXT(B16, "dddd"))</f>
        <v>Onsdag</v>
      </c>
      <c r="B16" s="93">
        <f t="shared" ref="B16" si="5">Onsdag13</f>
        <v>45742</v>
      </c>
      <c r="C16" s="46">
        <v>0.375</v>
      </c>
      <c r="D16" s="54">
        <v>0.45833333333333331</v>
      </c>
      <c r="E16" s="55"/>
      <c r="F16" s="56" t="s">
        <v>752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0.375</v>
      </c>
      <c r="D17" s="54">
        <v>0.45833333333333331</v>
      </c>
      <c r="E17" s="55" t="s">
        <v>128</v>
      </c>
      <c r="F17" s="56" t="s">
        <v>467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0.41666666666666669</v>
      </c>
      <c r="D18" s="54">
        <v>0.5</v>
      </c>
      <c r="E18" s="55"/>
      <c r="F18" s="56" t="s">
        <v>657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0.55555555555555558</v>
      </c>
      <c r="D19" s="54">
        <v>0.63888888888888884</v>
      </c>
      <c r="E19" s="55"/>
      <c r="F19" s="56" t="s">
        <v>28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0.55555555555555558</v>
      </c>
      <c r="D20" s="54">
        <v>0.63888888888888884</v>
      </c>
      <c r="E20" s="55"/>
      <c r="F20" s="56" t="s">
        <v>791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s="10" customFormat="1" ht="15" customHeight="1" x14ac:dyDescent="0.3">
      <c r="A21" s="91"/>
      <c r="B21" s="93"/>
      <c r="C21" s="46">
        <v>0.70833333333333337</v>
      </c>
      <c r="D21" s="54">
        <v>0.83333333333333337</v>
      </c>
      <c r="E21" s="55"/>
      <c r="F21" s="56" t="s">
        <v>887</v>
      </c>
    </row>
    <row r="22" spans="1:24" ht="15" customHeight="1" x14ac:dyDescent="0.3">
      <c r="A22" s="91"/>
      <c r="B22" s="93"/>
      <c r="C22" s="46">
        <v>0.83333333333333337</v>
      </c>
      <c r="D22" s="54">
        <v>0.91666666666666663</v>
      </c>
      <c r="E22" s="55" t="s">
        <v>98</v>
      </c>
      <c r="F22" s="56" t="s">
        <v>422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hidden="1" customHeight="1" x14ac:dyDescent="0.3">
      <c r="A23" s="91" t="s">
        <v>0</v>
      </c>
      <c r="B23" s="93" t="s">
        <v>1</v>
      </c>
      <c r="C23" s="50" t="s">
        <v>838</v>
      </c>
      <c r="D23" s="51" t="s">
        <v>2</v>
      </c>
      <c r="E23" s="52" t="s">
        <v>3</v>
      </c>
      <c r="F23" s="53" t="s">
        <v>4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 t="str">
        <f t="shared" ref="A24" si="6">PROPER(TEXT(B24, "dddd"))</f>
        <v>Torsdag</v>
      </c>
      <c r="B24" s="93">
        <f t="shared" ref="B24" si="7">Torsdag13</f>
        <v>45743</v>
      </c>
      <c r="C24" s="46">
        <v>0.375</v>
      </c>
      <c r="D24" s="54">
        <v>0.4375</v>
      </c>
      <c r="E24" s="55" t="s">
        <v>81</v>
      </c>
      <c r="F24" s="56" t="s">
        <v>521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/>
      <c r="B25" s="93"/>
      <c r="C25" s="46">
        <v>0.41666666666666669</v>
      </c>
      <c r="D25" s="54">
        <v>0.5</v>
      </c>
      <c r="E25" s="55"/>
      <c r="F25" s="56" t="s">
        <v>252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0.4375</v>
      </c>
      <c r="D26" s="54">
        <v>0.52083333333333337</v>
      </c>
      <c r="E26" s="55" t="s">
        <v>128</v>
      </c>
      <c r="F26" s="56" t="s">
        <v>456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s="10" customFormat="1" ht="15" customHeight="1" x14ac:dyDescent="0.3">
      <c r="A27" s="91"/>
      <c r="B27" s="93"/>
      <c r="C27" s="46">
        <v>0.5625</v>
      </c>
      <c r="D27" s="54">
        <v>0.64583333333333337</v>
      </c>
      <c r="E27" s="55"/>
      <c r="F27" s="56" t="s">
        <v>230</v>
      </c>
    </row>
    <row r="28" spans="1:24" ht="15" customHeight="1" x14ac:dyDescent="0.3">
      <c r="A28" s="91"/>
      <c r="B28" s="93"/>
      <c r="C28" s="46">
        <v>0.70833333333333337</v>
      </c>
      <c r="D28" s="54">
        <v>0.83333333333333337</v>
      </c>
      <c r="E28" s="55"/>
      <c r="F28" s="56" t="s">
        <v>887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0.83333333333333337</v>
      </c>
      <c r="D29" s="54">
        <v>0.875</v>
      </c>
      <c r="E29" s="55" t="s">
        <v>99</v>
      </c>
      <c r="F29" s="56" t="s">
        <v>867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hidden="1" customHeight="1" x14ac:dyDescent="0.3">
      <c r="A30" s="91" t="s">
        <v>0</v>
      </c>
      <c r="B30" s="93" t="s">
        <v>1</v>
      </c>
      <c r="C30" s="50" t="s">
        <v>838</v>
      </c>
      <c r="D30" s="51" t="s">
        <v>2</v>
      </c>
      <c r="E30" s="52" t="s">
        <v>3</v>
      </c>
      <c r="F30" s="53" t="s">
        <v>4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91" t="str">
        <f t="shared" ref="A31" si="8">PROPER(TEXT(B31, "dddd"))</f>
        <v>Fredag</v>
      </c>
      <c r="B31" s="93">
        <f t="shared" ref="B31" si="9">Fredag13</f>
        <v>45744</v>
      </c>
      <c r="C31" s="46">
        <v>0.375</v>
      </c>
      <c r="D31" s="54">
        <v>0.4375</v>
      </c>
      <c r="E31" s="55" t="s">
        <v>57</v>
      </c>
      <c r="F31" s="56" t="s">
        <v>521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91"/>
      <c r="B32" s="93"/>
      <c r="C32" s="46">
        <v>0.41666666666666669</v>
      </c>
      <c r="D32" s="54">
        <v>0.5</v>
      </c>
      <c r="E32" s="55"/>
      <c r="F32" s="56" t="s">
        <v>643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s="10" customFormat="1" ht="15" customHeight="1" x14ac:dyDescent="0.3">
      <c r="A33" s="91"/>
      <c r="B33" s="93"/>
      <c r="C33" s="46">
        <v>0.45833333333333331</v>
      </c>
      <c r="D33" s="54">
        <v>0.54166666666666663</v>
      </c>
      <c r="E33" s="55"/>
      <c r="F33" s="56" t="s">
        <v>815</v>
      </c>
    </row>
    <row r="34" spans="1:24" ht="15" customHeight="1" x14ac:dyDescent="0.3">
      <c r="A34" s="91"/>
      <c r="B34" s="93"/>
      <c r="C34" s="46">
        <v>0.45833333333333331</v>
      </c>
      <c r="D34" s="54">
        <v>0.5</v>
      </c>
      <c r="E34" s="55" t="s">
        <v>98</v>
      </c>
      <c r="F34" s="56" t="s">
        <v>555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91"/>
      <c r="B35" s="93"/>
      <c r="C35" s="46">
        <v>0.70833333333333337</v>
      </c>
      <c r="D35" s="54">
        <v>0.83333333333333337</v>
      </c>
      <c r="E35" s="55"/>
      <c r="F35" s="56" t="s">
        <v>887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hidden="1" customHeight="1" x14ac:dyDescent="0.3">
      <c r="A36" s="91" t="s">
        <v>0</v>
      </c>
      <c r="B36" s="93" t="s">
        <v>1</v>
      </c>
      <c r="C36" s="50" t="s">
        <v>838</v>
      </c>
      <c r="D36" s="51" t="s">
        <v>2</v>
      </c>
      <c r="E36" s="52" t="s">
        <v>3</v>
      </c>
      <c r="F36" s="53" t="s">
        <v>4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91" t="str">
        <f t="shared" ref="A37" si="10">PROPER(TEXT(B37, "dddd"))</f>
        <v>Lördag</v>
      </c>
      <c r="B37" s="93">
        <f t="shared" ref="B37" si="11">Lördag13</f>
        <v>45745</v>
      </c>
      <c r="C37" s="46">
        <v>0.375</v>
      </c>
      <c r="D37" s="54">
        <v>0.625</v>
      </c>
      <c r="E37" s="55"/>
      <c r="F37" s="56" t="s">
        <v>887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s="10" customFormat="1" ht="15" customHeight="1" x14ac:dyDescent="0.3">
      <c r="A38" s="91"/>
      <c r="B38" s="93"/>
      <c r="C38" s="46">
        <v>0.41666666666666669</v>
      </c>
      <c r="D38" s="54">
        <v>0.75</v>
      </c>
      <c r="E38" s="55" t="s">
        <v>83</v>
      </c>
      <c r="F38" s="56" t="s">
        <v>852</v>
      </c>
    </row>
    <row r="39" spans="1:24" ht="15" customHeight="1" x14ac:dyDescent="0.3">
      <c r="A39" s="91"/>
      <c r="B39" s="93"/>
      <c r="C39" s="46">
        <v>0.77083333333333337</v>
      </c>
      <c r="D39" s="54">
        <v>0.83333333333333337</v>
      </c>
      <c r="E39" s="55">
        <v>10</v>
      </c>
      <c r="F39" s="56" t="s">
        <v>888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hidden="1" customHeight="1" x14ac:dyDescent="0.3">
      <c r="A40" s="91" t="s">
        <v>0</v>
      </c>
      <c r="B40" s="93" t="s">
        <v>1</v>
      </c>
      <c r="C40" s="50" t="s">
        <v>838</v>
      </c>
      <c r="D40" s="51" t="s">
        <v>2</v>
      </c>
      <c r="E40" s="52" t="s">
        <v>3</v>
      </c>
      <c r="F40" s="53" t="s">
        <v>4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1" spans="1:24" ht="15" customHeight="1" x14ac:dyDescent="0.3">
      <c r="A41" s="91" t="str">
        <f t="shared" ref="A41" si="12">PROPER(TEXT(B41, "dddd"))</f>
        <v>Söndag</v>
      </c>
      <c r="B41" s="93">
        <f t="shared" ref="B41" si="13">Söndag13</f>
        <v>45746</v>
      </c>
      <c r="C41" s="46">
        <v>0.375</v>
      </c>
      <c r="D41" s="54">
        <v>0.79166666666666663</v>
      </c>
      <c r="E41" s="55"/>
      <c r="F41" s="56" t="s">
        <v>887</v>
      </c>
      <c r="G41"/>
      <c r="H41" s="1"/>
      <c r="I41" s="1"/>
      <c r="L41"/>
      <c r="M41"/>
      <c r="N41"/>
      <c r="O41"/>
      <c r="P41"/>
      <c r="Q41"/>
      <c r="R41"/>
      <c r="S41"/>
      <c r="T41"/>
      <c r="V41"/>
      <c r="W41"/>
      <c r="X41"/>
    </row>
    <row r="43" spans="1:24" ht="15" customHeight="1" x14ac:dyDescent="0.3">
      <c r="C43" s="46"/>
      <c r="D43" s="47"/>
    </row>
    <row r="44" spans="1:24" ht="15" customHeight="1" x14ac:dyDescent="0.3">
      <c r="C44" s="46"/>
      <c r="D44" s="8"/>
    </row>
    <row r="45" spans="1:24" ht="15" customHeight="1" x14ac:dyDescent="0.3">
      <c r="C45" s="46"/>
      <c r="D45" s="8"/>
    </row>
  </sheetData>
  <sheetProtection algorithmName="SHA-512" hashValue="K5+sBW6DDcOgxZWXVTTCcqCmLVqU4fDkt+yK3xzaJG9ZnEiI1m3Dh/UfRD4JxVinyb1U18SYIcrwcg/ZlkZ1SQ==" saltValue="H5LKRzZ98dYdFsN0sGudOw==" spinCount="100000" sheet="1" objects="1" scenarios="1" autoFilter="0" pivotTables="0"/>
  <sortState xmlns:xlrd2="http://schemas.microsoft.com/office/spreadsheetml/2017/richdata2" ref="A31:F35">
    <sortCondition ref="C31:C35"/>
  </sortState>
  <conditionalFormatting sqref="A16:A21 A13:A14 A41 A3 A5:A9 A11 A24:A26 A29:A35 A38:A39">
    <cfRule type="expression" dxfId="3049" priority="8">
      <formula>OR(IF($A2="Dag",1))</formula>
    </cfRule>
  </conditionalFormatting>
  <conditionalFormatting sqref="A16:A22 A31:A35 A41:B41 A3:B7 A9:B14 A24:B29 A37:B39">
    <cfRule type="cellIs" dxfId="3048" priority="5" operator="equal">
      <formula>"Datum"</formula>
    </cfRule>
    <cfRule type="cellIs" dxfId="3047" priority="6" operator="equal">
      <formula>"Dag"</formula>
    </cfRule>
  </conditionalFormatting>
  <conditionalFormatting sqref="A40">
    <cfRule type="expression" dxfId="3046" priority="26">
      <formula>OR(IF(#REF!="Dag",1))</formula>
    </cfRule>
  </conditionalFormatting>
  <conditionalFormatting sqref="A22 A12 A15">
    <cfRule type="expression" dxfId="3045" priority="323">
      <formula>OR(IF($A10="Dag",1))</formula>
    </cfRule>
  </conditionalFormatting>
  <conditionalFormatting sqref="A1:B2 A8:B8 A15:B15 B16:B22 A23:B23 A30:B30 B31:B35 A36:B36 A40:B40 A42:B1048576">
    <cfRule type="cellIs" dxfId="3044" priority="18" operator="equal">
      <formula>"Datum"</formula>
    </cfRule>
    <cfRule type="cellIs" dxfId="3043" priority="19" operator="equal">
      <formula>"Dag"</formula>
    </cfRule>
  </conditionalFormatting>
  <conditionalFormatting sqref="B16:B21 B13:B14 B3 B5:B9 B11 B24:B26 B29:B35 B38:B39 B41">
    <cfRule type="expression" dxfId="3042" priority="25">
      <formula>OR(IF($B2="Datum",1))</formula>
    </cfRule>
  </conditionalFormatting>
  <conditionalFormatting sqref="B22 B12 B15">
    <cfRule type="expression" dxfId="3041" priority="327">
      <formula>OR(IF($B10="Datum",1))</formula>
    </cfRule>
  </conditionalFormatting>
  <conditionalFormatting sqref="C3:E5 C7:E41">
    <cfRule type="expression" dxfId="3040" priority="22">
      <formula>OR(IF($E3="Hela hallen",1))</formula>
    </cfRule>
  </conditionalFormatting>
  <conditionalFormatting sqref="L1:T1 L42:T1048576">
    <cfRule type="cellIs" dxfId="3039" priority="17" operator="equal">
      <formula>"-"</formula>
    </cfRule>
  </conditionalFormatting>
  <conditionalFormatting sqref="C6:E6">
    <cfRule type="expression" dxfId="3038" priority="2">
      <formula>OR(IF($E6="Hela hallen",1))</formula>
    </cfRule>
  </conditionalFormatting>
  <conditionalFormatting sqref="A4 A10 A23 A27:A28 A36:A37">
    <cfRule type="expression" dxfId="3037" priority="2004">
      <formula>OR(IF(#REF!="Dag",1))</formula>
    </cfRule>
  </conditionalFormatting>
  <conditionalFormatting sqref="B4 B10 B23 B27:B28 B36:B37 B40">
    <cfRule type="expression" dxfId="3036" priority="2015">
      <formula>OR(IF(#REF!="Datum",1))</formula>
    </cfRule>
  </conditionalFormatting>
  <conditionalFormatting sqref="C3:F41">
    <cfRule type="expression" dxfId="3035" priority="2026">
      <formula>OR(IF(#REF!=TRUE,1))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0EF6F8E-1FB9-4CE4-993A-1CD92147312E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A16:A21 A41:B41 A3:B3 A11:B11 A5:B9 A13:B14 A24:B26 A29:B35 A38:B39</xm:sqref>
        </x14:conditionalFormatting>
        <x14:conditionalFormatting xmlns:xm="http://schemas.microsoft.com/office/excel/2006/main">
          <x14:cfRule type="expression" priority="322" id="{40EF6F8E-1FB9-4CE4-993A-1CD92147312E}">
            <xm:f>AND(IF(ISERROR(MATCH($B12,Kalenderår!$A$3:$A$17,0)),FALSE,TRUE), IF($B10="Datum",TRUE,FALSE), IF($A10="Dag",TRUE,FALSE))</xm:f>
            <x14:dxf>
              <font>
                <color rgb="FFC00000"/>
              </font>
            </x14:dxf>
          </x14:cfRule>
          <xm:sqref>A22 A12:B12 A15:B15</xm:sqref>
        </x14:conditionalFormatting>
        <x14:conditionalFormatting xmlns:xm="http://schemas.microsoft.com/office/excel/2006/main">
          <x14:cfRule type="expression" priority="21" id="{ABACADEF-9D0D-4B6D-BB2B-0049921BBDDE}">
            <xm:f>AND(IF(ISERROR(MATCH($B16,Kalenderår!$A$3:$A$17,0)),FALSE,TRUE), IF($B15="Datum",TRUE,FALSE), IF($A15="Dag",TRUE,FALSE))</xm:f>
            <x14:dxf>
              <font>
                <color rgb="FFC00000"/>
              </font>
            </x14:dxf>
          </x14:cfRule>
          <xm:sqref>B16:B21</xm:sqref>
        </x14:conditionalFormatting>
        <x14:conditionalFormatting xmlns:xm="http://schemas.microsoft.com/office/excel/2006/main">
          <x14:cfRule type="expression" priority="325" id="{ABACADEF-9D0D-4B6D-BB2B-0049921BBDDE}">
            <xm:f>AND(IF(ISERROR(MATCH($B22,Kalenderår!$A$3:$A$17,0)),FALSE,TRUE), IF($B20="Datum",TRUE,FALSE), IF($A20="Dag",TRUE,FALSE))</xm:f>
            <x14:dxf>
              <font>
                <color rgb="FFC00000"/>
              </font>
            </x14:dxf>
          </x14:cfRule>
          <xm:sqref>B22</xm:sqref>
        </x14:conditionalFormatting>
        <x14:conditionalFormatting xmlns:xm="http://schemas.microsoft.com/office/excel/2006/main">
          <x14:cfRule type="expression" priority="2024" id="{40EF6F8E-1FB9-4CE4-993A-1CD92147312E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A10:B10 A23:B23 A27:B28 A36:B37 A40:B40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D4DD58-5368-429E-B208-7401A2AB45A0}">
          <x14:formula1>
            <xm:f>Listor!$A$2:$A$150</xm:f>
          </x14:formula1>
          <xm:sqref>E16:E22 E31:E35 E41 E3:E7 E9:E14 E24:E29 E37:E39</xm:sqref>
        </x14:dataValidation>
        <x14:dataValidation type="list" allowBlank="1" showInputMessage="1" showErrorMessage="1" xr:uid="{7F44CFA4-3429-4D77-8D25-E99E6CF4B8AD}">
          <x14:formula1>
            <xm:f>Kontaktuppgifter!$A$2:$A$300</xm:f>
          </x14:formula1>
          <xm:sqref>F16:F22 F31:F35 F41 F3:F7 F9:F14 F24:F29 F37:F39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8CFDA-DFF9-47DB-BAF5-4F8CD5F6AD83}">
  <sheetPr codeName="Blad15">
    <pageSetUpPr fitToPage="1"/>
  </sheetPr>
  <dimension ref="A1:Y47"/>
  <sheetViews>
    <sheetView showGridLines="0" topLeftCell="G1" zoomScaleNormal="100" workbookViewId="0">
      <pane ySplit="2" topLeftCell="A23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6.441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Måndag14</f>
        <v>45747</v>
      </c>
      <c r="W1" s="39">
        <f>Söndag14</f>
        <v>45753</v>
      </c>
      <c r="X1" s="40">
        <f>WEEKNUM(Söndag14, 2)</f>
        <v>14</v>
      </c>
      <c r="Y1" s="41" t="str">
        <f>"V. "&amp;X1&amp;", "&amp;TEXT(V1,"D MMM")&amp;"-"&amp;TEXT(W1,"D MMM")</f>
        <v>V. 14, 31 mar-6 apr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Måndag14</f>
        <v>45747</v>
      </c>
      <c r="C3" s="46">
        <v>0.54166666666666663</v>
      </c>
      <c r="D3" s="47">
        <v>0.58333333333333337</v>
      </c>
      <c r="E3" s="48" t="s">
        <v>83</v>
      </c>
      <c r="F3" s="49" t="s">
        <v>592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0.5625</v>
      </c>
      <c r="D4" s="47">
        <v>0.59375</v>
      </c>
      <c r="E4" s="48" t="s">
        <v>88</v>
      </c>
      <c r="F4" s="49" t="s">
        <v>467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91"/>
      <c r="B5" s="92"/>
      <c r="C5" s="46">
        <v>0.58333333333333337</v>
      </c>
      <c r="D5" s="47">
        <v>0.625</v>
      </c>
      <c r="E5" s="48">
        <v>50</v>
      </c>
      <c r="F5" s="49" t="s">
        <v>731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2"/>
      <c r="C6" s="46">
        <v>0.70833333333333337</v>
      </c>
      <c r="D6" s="47">
        <v>0.83333333333333337</v>
      </c>
      <c r="E6" s="48"/>
      <c r="F6" s="49" t="s">
        <v>887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15" customHeight="1" x14ac:dyDescent="0.3">
      <c r="A7" s="91"/>
      <c r="B7" s="92"/>
      <c r="C7" s="46">
        <v>0.83333333333333337</v>
      </c>
      <c r="D7" s="47">
        <v>0.875</v>
      </c>
      <c r="E7" s="48" t="s">
        <v>97</v>
      </c>
      <c r="F7" s="49" t="s">
        <v>375</v>
      </c>
    </row>
    <row r="8" spans="1:25" ht="15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 t="str">
        <f t="shared" ref="A9" si="2">PROPER(TEXT(B9, "dddd"))</f>
        <v>Tisdag</v>
      </c>
      <c r="B9" s="93">
        <f t="shared" ref="B9" si="3">Tisdag14</f>
        <v>45748</v>
      </c>
      <c r="C9" s="46">
        <v>0.33333333333333331</v>
      </c>
      <c r="D9" s="54">
        <v>0.39583333333333331</v>
      </c>
      <c r="E9" s="55"/>
      <c r="F9" s="56" t="s">
        <v>522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0.33333333333333331</v>
      </c>
      <c r="D10" s="54">
        <v>0.375</v>
      </c>
      <c r="E10" s="55" t="s">
        <v>100</v>
      </c>
      <c r="F10" s="56" t="s">
        <v>807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0.34375</v>
      </c>
      <c r="D11" s="54">
        <v>0.38541666666666669</v>
      </c>
      <c r="E11" s="55">
        <v>45</v>
      </c>
      <c r="F11" s="56" t="s">
        <v>555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0.375</v>
      </c>
      <c r="D12" s="54">
        <v>0.44791666666666669</v>
      </c>
      <c r="E12" s="55" t="s">
        <v>94</v>
      </c>
      <c r="F12" s="56" t="s">
        <v>521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0.39583333333333331</v>
      </c>
      <c r="D13" s="54">
        <v>0.4375</v>
      </c>
      <c r="E13" s="55" t="s">
        <v>100</v>
      </c>
      <c r="F13" s="56" t="s">
        <v>807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15" customHeight="1" x14ac:dyDescent="0.3">
      <c r="A14" s="91"/>
      <c r="B14" s="93"/>
      <c r="C14" s="46">
        <v>0.5625</v>
      </c>
      <c r="D14" s="54">
        <v>0.64583333333333337</v>
      </c>
      <c r="E14" s="55"/>
      <c r="F14" s="56" t="s">
        <v>601</v>
      </c>
    </row>
    <row r="15" spans="1:25" ht="15" customHeight="1" x14ac:dyDescent="0.3">
      <c r="A15" s="91"/>
      <c r="B15" s="93"/>
      <c r="C15" s="46">
        <v>0.70833333333333337</v>
      </c>
      <c r="D15" s="54">
        <v>0.83333333333333337</v>
      </c>
      <c r="E15" s="55"/>
      <c r="F15" s="56" t="s">
        <v>887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hidden="1" customHeight="1" x14ac:dyDescent="0.3">
      <c r="A16" s="91" t="s">
        <v>0</v>
      </c>
      <c r="B16" s="93" t="s">
        <v>1</v>
      </c>
      <c r="C16" s="50" t="s">
        <v>838</v>
      </c>
      <c r="D16" s="51" t="s">
        <v>2</v>
      </c>
      <c r="E16" s="52" t="s">
        <v>3</v>
      </c>
      <c r="F16" s="53" t="s">
        <v>4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 t="str">
        <f t="shared" ref="A17" si="4">PROPER(TEXT(B17, "dddd"))</f>
        <v>Onsdag</v>
      </c>
      <c r="B17" s="93">
        <f t="shared" ref="B17" si="5">Onsdag14</f>
        <v>45749</v>
      </c>
      <c r="C17" s="46">
        <v>0.33333333333333331</v>
      </c>
      <c r="D17" s="54">
        <v>0.375</v>
      </c>
      <c r="E17" s="55" t="s">
        <v>83</v>
      </c>
      <c r="F17" s="56" t="s">
        <v>592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0.375</v>
      </c>
      <c r="D18" s="54">
        <v>0.45833333333333331</v>
      </c>
      <c r="E18" s="55"/>
      <c r="F18" s="56" t="s">
        <v>752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0.41666666666666669</v>
      </c>
      <c r="D19" s="54">
        <v>0.5</v>
      </c>
      <c r="E19" s="55"/>
      <c r="F19" s="56" t="s">
        <v>657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0.55555555555555558</v>
      </c>
      <c r="D20" s="54">
        <v>0.63888888888888884</v>
      </c>
      <c r="E20" s="55"/>
      <c r="F20" s="56" t="s">
        <v>28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s="10" customFormat="1" ht="15" customHeight="1" x14ac:dyDescent="0.3">
      <c r="A21" s="91"/>
      <c r="B21" s="93"/>
      <c r="C21" s="46">
        <v>0.55555555555555558</v>
      </c>
      <c r="D21" s="54">
        <v>0.63888888888888884</v>
      </c>
      <c r="E21" s="55"/>
      <c r="F21" s="56" t="s">
        <v>791</v>
      </c>
    </row>
    <row r="22" spans="1:24" ht="15" customHeight="1" x14ac:dyDescent="0.3">
      <c r="A22" s="91"/>
      <c r="B22" s="93"/>
      <c r="C22" s="46">
        <v>0.70833333333333337</v>
      </c>
      <c r="D22" s="54">
        <v>0.83333333333333337</v>
      </c>
      <c r="E22" s="55"/>
      <c r="F22" s="56" t="s">
        <v>887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0.75</v>
      </c>
      <c r="D23" s="54">
        <v>0.79166666666666663</v>
      </c>
      <c r="E23" s="55"/>
      <c r="F23" s="56" t="s">
        <v>569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hidden="1" customHeight="1" x14ac:dyDescent="0.3">
      <c r="A24" s="91" t="s">
        <v>0</v>
      </c>
      <c r="B24" s="93" t="s">
        <v>1</v>
      </c>
      <c r="C24" s="50" t="s">
        <v>838</v>
      </c>
      <c r="D24" s="51" t="s">
        <v>2</v>
      </c>
      <c r="E24" s="52" t="s">
        <v>3</v>
      </c>
      <c r="F24" s="53" t="s">
        <v>4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 t="str">
        <f t="shared" ref="A25" si="6">PROPER(TEXT(B25, "dddd"))</f>
        <v>Torsdag</v>
      </c>
      <c r="B25" s="93">
        <f t="shared" ref="B25" si="7">Torsdag14</f>
        <v>45750</v>
      </c>
      <c r="C25" s="46">
        <v>0.375</v>
      </c>
      <c r="D25" s="54">
        <v>0.4375</v>
      </c>
      <c r="E25" s="55" t="s">
        <v>81</v>
      </c>
      <c r="F25" s="56" t="s">
        <v>521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0.41666666666666669</v>
      </c>
      <c r="D26" s="54">
        <v>0.5</v>
      </c>
      <c r="E26" s="55"/>
      <c r="F26" s="56" t="s">
        <v>252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s="10" customFormat="1" ht="15" customHeight="1" x14ac:dyDescent="0.3">
      <c r="A27" s="91"/>
      <c r="B27" s="93"/>
      <c r="C27" s="46">
        <v>0.5625</v>
      </c>
      <c r="D27" s="54">
        <v>0.64583333333333337</v>
      </c>
      <c r="E27" s="55"/>
      <c r="F27" s="56" t="s">
        <v>230</v>
      </c>
    </row>
    <row r="28" spans="1:24" ht="15" customHeight="1" x14ac:dyDescent="0.3">
      <c r="A28" s="91"/>
      <c r="B28" s="93"/>
      <c r="C28" s="46">
        <v>0.63194444444444442</v>
      </c>
      <c r="D28" s="54">
        <v>0.67361111111111116</v>
      </c>
      <c r="E28" s="55" t="s">
        <v>98</v>
      </c>
      <c r="F28" s="56" t="s">
        <v>596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0.70833333333333337</v>
      </c>
      <c r="D29" s="54">
        <v>0.83333333333333337</v>
      </c>
      <c r="E29" s="55"/>
      <c r="F29" s="56" t="s">
        <v>887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91"/>
      <c r="B30" s="93"/>
      <c r="C30" s="46">
        <v>0.83333333333333337</v>
      </c>
      <c r="D30" s="54">
        <v>0.875</v>
      </c>
      <c r="E30" s="55" t="s">
        <v>99</v>
      </c>
      <c r="F30" s="56" t="s">
        <v>867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hidden="1" customHeight="1" x14ac:dyDescent="0.3">
      <c r="A31" s="91" t="s">
        <v>0</v>
      </c>
      <c r="B31" s="93" t="s">
        <v>1</v>
      </c>
      <c r="C31" s="50" t="s">
        <v>838</v>
      </c>
      <c r="D31" s="51" t="s">
        <v>2</v>
      </c>
      <c r="E31" s="52" t="s">
        <v>3</v>
      </c>
      <c r="F31" s="53" t="s">
        <v>4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91" t="str">
        <f t="shared" ref="A32" si="8">PROPER(TEXT(B32, "dddd"))</f>
        <v>Fredag</v>
      </c>
      <c r="B32" s="93">
        <f t="shared" ref="B32" si="9">Fredag14</f>
        <v>45751</v>
      </c>
      <c r="C32" s="46">
        <v>0.33333333333333331</v>
      </c>
      <c r="D32" s="54">
        <v>0.375</v>
      </c>
      <c r="E32" s="55" t="s">
        <v>100</v>
      </c>
      <c r="F32" s="56" t="s">
        <v>807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91"/>
      <c r="B33" s="93"/>
      <c r="C33" s="46">
        <v>0.375</v>
      </c>
      <c r="D33" s="54">
        <v>0.4375</v>
      </c>
      <c r="E33" s="55" t="s">
        <v>57</v>
      </c>
      <c r="F33" s="56" t="s">
        <v>521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s="10" customFormat="1" ht="15" customHeight="1" x14ac:dyDescent="0.3">
      <c r="A34" s="91"/>
      <c r="B34" s="93"/>
      <c r="C34" s="46">
        <v>0.39583333333333331</v>
      </c>
      <c r="D34" s="54">
        <v>0.4375</v>
      </c>
      <c r="E34" s="55" t="s">
        <v>100</v>
      </c>
      <c r="F34" s="56" t="s">
        <v>807</v>
      </c>
    </row>
    <row r="35" spans="1:24" ht="15" customHeight="1" x14ac:dyDescent="0.3">
      <c r="A35" s="91"/>
      <c r="B35" s="93"/>
      <c r="C35" s="46">
        <v>0.41666666666666669</v>
      </c>
      <c r="D35" s="54">
        <v>0.5</v>
      </c>
      <c r="E35" s="55"/>
      <c r="F35" s="56" t="s">
        <v>643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91"/>
      <c r="B36" s="93"/>
      <c r="C36" s="46">
        <v>0.45833333333333331</v>
      </c>
      <c r="D36" s="54">
        <v>0.54166666666666663</v>
      </c>
      <c r="E36" s="55"/>
      <c r="F36" s="56" t="s">
        <v>815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91"/>
      <c r="B37" s="93"/>
      <c r="C37" s="46">
        <v>0.61111111111111116</v>
      </c>
      <c r="D37" s="54">
        <v>0.65277777777777779</v>
      </c>
      <c r="E37" s="55" t="s">
        <v>98</v>
      </c>
      <c r="F37" s="56" t="s">
        <v>596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customHeight="1" x14ac:dyDescent="0.3">
      <c r="A38" s="91"/>
      <c r="B38" s="93"/>
      <c r="C38" s="46">
        <v>0.70833333333333337</v>
      </c>
      <c r="D38" s="54">
        <v>0.83333333333333337</v>
      </c>
      <c r="E38" s="55"/>
      <c r="F38" s="56" t="s">
        <v>887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hidden="1" customHeight="1" x14ac:dyDescent="0.3">
      <c r="A39" s="91" t="s">
        <v>0</v>
      </c>
      <c r="B39" s="93" t="s">
        <v>1</v>
      </c>
      <c r="C39" s="50" t="s">
        <v>838</v>
      </c>
      <c r="D39" s="51" t="s">
        <v>2</v>
      </c>
      <c r="E39" s="52" t="s">
        <v>3</v>
      </c>
      <c r="F39" s="53" t="s">
        <v>4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customHeight="1" x14ac:dyDescent="0.3">
      <c r="A40" s="91" t="str">
        <f t="shared" ref="A40" si="10">PROPER(TEXT(B40, "dddd"))</f>
        <v>Lördag</v>
      </c>
      <c r="B40" s="93">
        <f t="shared" ref="B40" si="11">Lördag14</f>
        <v>45752</v>
      </c>
      <c r="C40" s="46">
        <v>0.375</v>
      </c>
      <c r="D40" s="54">
        <v>0.625</v>
      </c>
      <c r="E40" s="55"/>
      <c r="F40" s="56" t="s">
        <v>887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1" spans="1:24" ht="15" customHeight="1" x14ac:dyDescent="0.3">
      <c r="A41" s="91"/>
      <c r="B41" s="93"/>
      <c r="C41" s="46">
        <v>0.66666666666666663</v>
      </c>
      <c r="D41" s="54">
        <v>0.79166666666666663</v>
      </c>
      <c r="E41" s="55" t="s">
        <v>83</v>
      </c>
      <c r="F41" s="56" t="s">
        <v>878</v>
      </c>
      <c r="G41"/>
      <c r="H41" s="1"/>
      <c r="I41" s="1"/>
      <c r="L41"/>
      <c r="M41"/>
      <c r="N41"/>
      <c r="O41"/>
      <c r="P41"/>
      <c r="Q41"/>
      <c r="R41"/>
      <c r="S41"/>
      <c r="T41"/>
      <c r="V41"/>
      <c r="W41"/>
      <c r="X41"/>
    </row>
    <row r="42" spans="1:24" ht="15" hidden="1" customHeight="1" x14ac:dyDescent="0.3">
      <c r="A42" s="91" t="s">
        <v>0</v>
      </c>
      <c r="B42" s="93" t="s">
        <v>1</v>
      </c>
      <c r="C42" s="50" t="s">
        <v>838</v>
      </c>
      <c r="D42" s="51" t="s">
        <v>2</v>
      </c>
      <c r="E42" s="52" t="s">
        <v>3</v>
      </c>
      <c r="F42" s="53" t="s">
        <v>4</v>
      </c>
      <c r="G42"/>
      <c r="H42" s="1"/>
      <c r="I42" s="1"/>
      <c r="L42"/>
      <c r="M42"/>
      <c r="N42"/>
      <c r="O42"/>
      <c r="P42"/>
      <c r="Q42"/>
      <c r="R42"/>
      <c r="S42"/>
      <c r="T42"/>
      <c r="V42"/>
      <c r="W42"/>
      <c r="X42"/>
    </row>
    <row r="43" spans="1:24" ht="15" customHeight="1" x14ac:dyDescent="0.3">
      <c r="A43" s="91" t="str">
        <f t="shared" ref="A43" si="12">PROPER(TEXT(B43, "dddd"))</f>
        <v>Söndag</v>
      </c>
      <c r="B43" s="93">
        <f t="shared" ref="B43" si="13">Söndag14</f>
        <v>45753</v>
      </c>
      <c r="C43" s="46">
        <v>0.375</v>
      </c>
      <c r="D43" s="54">
        <v>0.79166666666666663</v>
      </c>
      <c r="E43" s="55"/>
      <c r="F43" s="56" t="s">
        <v>887</v>
      </c>
      <c r="G43"/>
      <c r="H43" s="1"/>
      <c r="I43" s="1"/>
      <c r="L43"/>
      <c r="M43"/>
      <c r="N43"/>
      <c r="O43"/>
      <c r="P43"/>
      <c r="Q43"/>
      <c r="R43"/>
      <c r="S43"/>
      <c r="T43"/>
      <c r="V43"/>
      <c r="W43"/>
      <c r="X43"/>
    </row>
    <row r="45" spans="1:24" ht="15" customHeight="1" x14ac:dyDescent="0.3">
      <c r="C45" s="46"/>
      <c r="D45" s="47"/>
    </row>
    <row r="46" spans="1:24" ht="15" customHeight="1" x14ac:dyDescent="0.3">
      <c r="C46" s="46"/>
      <c r="D46" s="8"/>
    </row>
    <row r="47" spans="1:24" ht="15" customHeight="1" x14ac:dyDescent="0.3">
      <c r="C47" s="46"/>
      <c r="D47" s="8"/>
    </row>
  </sheetData>
  <sheetProtection algorithmName="SHA-512" hashValue="28sFy5zFHALHtsUoVeRFX24eyyT+UDStBeUZwieTQ1/gVREOypRaxLQyow3OzT+o6OX0WXHVQ5MRxQofo3g9/Q==" saltValue="AarhqTrV0/8tCtmamHIHeQ==" spinCount="100000" sheet="1" objects="1" scenarios="1" autoFilter="0" pivotTables="0"/>
  <sortState xmlns:xlrd2="http://schemas.microsoft.com/office/spreadsheetml/2017/richdata2" ref="A32:F38">
    <sortCondition ref="C32:C38"/>
  </sortState>
  <conditionalFormatting sqref="A9:A14 A3:A5 A43 A16:A21 A24:A25 A27:A28 A31:A37 A39:A40">
    <cfRule type="expression" dxfId="2973" priority="4">
      <formula>OR(IF($A2="Dag",1))</formula>
    </cfRule>
  </conditionalFormatting>
  <conditionalFormatting sqref="A43:B43 A17:B23 A9:B15 A3:B7 A32:B38 A25:B30 A40:B41">
    <cfRule type="cellIs" dxfId="2972" priority="1" operator="equal">
      <formula>"Datum"</formula>
    </cfRule>
    <cfRule type="cellIs" dxfId="2971" priority="2" operator="equal">
      <formula>"Dag"</formula>
    </cfRule>
  </conditionalFormatting>
  <conditionalFormatting sqref="A42">
    <cfRule type="expression" dxfId="2970" priority="22">
      <formula>OR(IF(#REF!="Dag",1))</formula>
    </cfRule>
  </conditionalFormatting>
  <conditionalFormatting sqref="A15">
    <cfRule type="expression" dxfId="2969" priority="331">
      <formula>OR(IF($A13="Dag",1))</formula>
    </cfRule>
  </conditionalFormatting>
  <conditionalFormatting sqref="A22">
    <cfRule type="expression" dxfId="2968" priority="343">
      <formula>OR(IF($A18="Dag",1))</formula>
    </cfRule>
  </conditionalFormatting>
  <conditionalFormatting sqref="A38">
    <cfRule type="expression" dxfId="2967" priority="368">
      <formula>OR(IF($A36="Dag",1))</formula>
    </cfRule>
  </conditionalFormatting>
  <conditionalFormatting sqref="A1:B2 A8:B8 A16:B16 A24:B24 A31:B31 A39:B39 A42:B42 A44:B1048576">
    <cfRule type="cellIs" dxfId="2966" priority="14" operator="equal">
      <formula>"Datum"</formula>
    </cfRule>
    <cfRule type="cellIs" dxfId="2965" priority="15" operator="equal">
      <formula>"Dag"</formula>
    </cfRule>
  </conditionalFormatting>
  <conditionalFormatting sqref="B3:B5 B9:B14 B16:B21 B24:B25 B27:B28 B31:B37 B39:B40 B43">
    <cfRule type="expression" dxfId="2964" priority="21">
      <formula>OR(IF($B2="Datum",1))</formula>
    </cfRule>
  </conditionalFormatting>
  <conditionalFormatting sqref="B15">
    <cfRule type="expression" dxfId="2963" priority="335">
      <formula>OR(IF($B13="Datum",1))</formula>
    </cfRule>
  </conditionalFormatting>
  <conditionalFormatting sqref="B22">
    <cfRule type="expression" dxfId="2962" priority="352">
      <formula>OR(IF($B18="Datum",1))</formula>
    </cfRule>
  </conditionalFormatting>
  <conditionalFormatting sqref="B38">
    <cfRule type="expression" dxfId="2961" priority="370">
      <formula>OR(IF($B36="Datum",1))</formula>
    </cfRule>
  </conditionalFormatting>
  <conditionalFormatting sqref="C3:E43">
    <cfRule type="expression" dxfId="2960" priority="18">
      <formula>OR(IF($E3="Hela hallen",1))</formula>
    </cfRule>
  </conditionalFormatting>
  <conditionalFormatting sqref="L1:T1048576">
    <cfRule type="cellIs" dxfId="2959" priority="13" operator="equal">
      <formula>"-"</formula>
    </cfRule>
  </conditionalFormatting>
  <conditionalFormatting sqref="A23 A30 A6:A7">
    <cfRule type="expression" dxfId="2958" priority="888">
      <formula>OR(IF(#REF!="Dag",1))</formula>
    </cfRule>
  </conditionalFormatting>
  <conditionalFormatting sqref="B23 B30 B6:B7">
    <cfRule type="expression" dxfId="2957" priority="898">
      <formula>OR(IF(#REF!="Datum",1))</formula>
    </cfRule>
  </conditionalFormatting>
  <conditionalFormatting sqref="A8">
    <cfRule type="expression" dxfId="2956" priority="1012">
      <formula>OR(IF($A6="Dag",1))</formula>
    </cfRule>
  </conditionalFormatting>
  <conditionalFormatting sqref="B8">
    <cfRule type="expression" dxfId="2955" priority="1013">
      <formula>OR(IF($B6="Datum",1))</formula>
    </cfRule>
  </conditionalFormatting>
  <conditionalFormatting sqref="C3:F43">
    <cfRule type="expression" dxfId="2954" priority="2028">
      <formula>OR(IF(#REF!=TRUE,1))</formula>
    </cfRule>
  </conditionalFormatting>
  <conditionalFormatting sqref="A26 A29 A41">
    <cfRule type="expression" dxfId="2953" priority="2030">
      <formula>OR(IF(#REF!="Dag",1))</formula>
    </cfRule>
  </conditionalFormatting>
  <conditionalFormatting sqref="B26 B29 B41:B42">
    <cfRule type="expression" dxfId="2952" priority="2038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A44965F-026F-46D5-A9EA-3DF73070A3F7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A17:A21 A32:A37 A9:B14 A3:B5 A43:B43 A16:B16 A24:B25 A27:B28 A31:B31 A39:B40</xm:sqref>
        </x14:conditionalFormatting>
        <x14:conditionalFormatting xmlns:xm="http://schemas.microsoft.com/office/excel/2006/main">
          <x14:cfRule type="expression" priority="330" id="{CA44965F-026F-46D5-A9EA-3DF73070A3F7}">
            <xm:f>AND(IF(ISERROR(MATCH($B8,Kalenderår!$A$3:$A$17,0)),FALSE,TRUE), IF($B6="Datum",TRUE,FALSE), IF($A6="Dag",TRUE,FALSE))</xm:f>
            <x14:dxf>
              <font>
                <color rgb="FFC00000"/>
              </font>
            </x14:dxf>
          </x14:cfRule>
          <xm:sqref>A8:B8 A15:B15 A38:B38</xm:sqref>
        </x14:conditionalFormatting>
        <x14:conditionalFormatting xmlns:xm="http://schemas.microsoft.com/office/excel/2006/main">
          <x14:cfRule type="expression" priority="342" id="{CA44965F-026F-46D5-A9EA-3DF73070A3F7}">
            <xm:f>AND(IF(ISERROR(MATCH($B22,Kalenderår!$A$3:$A$17,0)),FALSE,TRUE), IF($B18="Datum",TRUE,FALSE), IF($A18="Dag",TRUE,FALSE))</xm:f>
            <x14:dxf>
              <font>
                <color rgb="FFC00000"/>
              </font>
            </x14:dxf>
          </x14:cfRule>
          <xm:sqref>A22</xm:sqref>
        </x14:conditionalFormatting>
        <x14:conditionalFormatting xmlns:xm="http://schemas.microsoft.com/office/excel/2006/main">
          <x14:cfRule type="expression" priority="17" id="{D25DA44D-FE77-45F9-8E3B-8183EBC0D9BB}">
            <xm:f>AND(IF(ISERROR(MATCH($B17,Kalenderår!$A$3:$A$17,0)),FALSE,TRUE), IF($B16="Datum",TRUE,FALSE), IF($A16="Dag",TRUE,FALSE))</xm:f>
            <x14:dxf>
              <font>
                <color rgb="FFC00000"/>
              </font>
            </x14:dxf>
          </x14:cfRule>
          <xm:sqref>B17:B21 B32:B37</xm:sqref>
        </x14:conditionalFormatting>
        <x14:conditionalFormatting xmlns:xm="http://schemas.microsoft.com/office/excel/2006/main">
          <x14:cfRule type="expression" priority="349" id="{D25DA44D-FE77-45F9-8E3B-8183EBC0D9BB}">
            <xm:f>AND(IF(ISERROR(MATCH($B22,Kalenderår!$A$3:$A$17,0)),FALSE,TRUE), IF($B18="Datum",TRUE,FALSE), IF($A18="Dag",TRUE,FALSE))</xm:f>
            <x14:dxf>
              <font>
                <color rgb="FFC00000"/>
              </font>
            </x14:dxf>
          </x14:cfRule>
          <xm:sqref>B22</xm:sqref>
        </x14:conditionalFormatting>
        <x14:conditionalFormatting xmlns:xm="http://schemas.microsoft.com/office/excel/2006/main">
          <x14:cfRule type="expression" priority="908" id="{CA44965F-026F-46D5-A9EA-3DF73070A3F7}">
            <xm:f>AND(IF(ISERROR(MATCH($B6,Kalenderår!$A$3:$A$17,0)),FALSE,TRUE), IF(#REF!="Datum",TRUE,FALSE), IF(#REF!="Dag",TRUE,FALSE))</xm:f>
            <x14:dxf>
              <font>
                <color rgb="FFC00000"/>
              </font>
            </x14:dxf>
          </x14:cfRule>
          <xm:sqref>A6:B7 A23:B23 A30:B30</xm:sqref>
        </x14:conditionalFormatting>
        <x14:conditionalFormatting xmlns:xm="http://schemas.microsoft.com/office/excel/2006/main">
          <x14:cfRule type="expression" priority="2049" id="{CA44965F-026F-46D5-A9EA-3DF73070A3F7}">
            <xm:f>AND(IF(ISERROR(MATCH($B26,Kalenderår!$A$3:$A$17,0)),FALSE,TRUE), IF(#REF!="Datum",TRUE,FALSE), IF(#REF!="Dag",TRUE,FALSE))</xm:f>
            <x14:dxf>
              <font>
                <color rgb="FFC00000"/>
              </font>
            </x14:dxf>
          </x14:cfRule>
          <xm:sqref>A26:B26 A29:B29 A41:B42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634E12-0530-4324-8694-D5293E1C194C}">
          <x14:formula1>
            <xm:f>Kontaktuppgifter!$A$2:$A$300</xm:f>
          </x14:formula1>
          <xm:sqref>F43 F17:F23 F9:F15 F3:F7 F32:F38 F25:F30 F40:F41</xm:sqref>
        </x14:dataValidation>
        <x14:dataValidation type="list" allowBlank="1" showInputMessage="1" showErrorMessage="1" xr:uid="{E1608A7B-896C-4301-ABF7-0B3D13D73DA2}">
          <x14:formula1>
            <xm:f>Listor!$A$2:$A$150</xm:f>
          </x14:formula1>
          <xm:sqref>E43 E17:E23 E9:E15 E3:E7 E32:E38 E25:E30 E40:E41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46829-8BDA-491B-B436-67E7294579A3}">
  <sheetPr codeName="Blad16">
    <pageSetUpPr fitToPage="1"/>
  </sheetPr>
  <dimension ref="A1:Y51"/>
  <sheetViews>
    <sheetView showGridLines="0" zoomScaleNormal="100" workbookViewId="0">
      <pane ySplit="2" topLeftCell="A3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6.44140625" style="8" bestFit="1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Måndag15</f>
        <v>45754</v>
      </c>
      <c r="W1" s="39">
        <f>Söndag15</f>
        <v>45760</v>
      </c>
      <c r="X1" s="40">
        <f>WEEKNUM(Söndag15, 2)</f>
        <v>15</v>
      </c>
      <c r="Y1" s="41" t="str">
        <f>"V. "&amp;X1&amp;", "&amp;TEXT(V1,"D MMM")&amp;"-"&amp;TEXT(W1,"D MMM")</f>
        <v>V. 15, 7 apr-13 apr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Måndag15</f>
        <v>45754</v>
      </c>
      <c r="C3" s="46">
        <v>0.33333333333333331</v>
      </c>
      <c r="D3" s="47">
        <v>0.41666666666666669</v>
      </c>
      <c r="E3" s="48">
        <v>50</v>
      </c>
      <c r="F3" s="49" t="s">
        <v>731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0.35416666666666669</v>
      </c>
      <c r="D4" s="47">
        <v>0.38541666666666669</v>
      </c>
      <c r="E4" s="48" t="s">
        <v>98</v>
      </c>
      <c r="F4" s="49" t="s">
        <v>467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91"/>
      <c r="B5" s="92"/>
      <c r="C5" s="46">
        <v>0.5625</v>
      </c>
      <c r="D5" s="47">
        <v>0.59375</v>
      </c>
      <c r="E5" s="48" t="s">
        <v>98</v>
      </c>
      <c r="F5" s="49" t="s">
        <v>467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15" customHeight="1" x14ac:dyDescent="0.3">
      <c r="A6" s="91"/>
      <c r="B6" s="92"/>
      <c r="C6" s="46">
        <v>0.58333333333333337</v>
      </c>
      <c r="D6" s="47">
        <v>0.625</v>
      </c>
      <c r="E6" s="48">
        <v>50</v>
      </c>
      <c r="F6" s="49" t="s">
        <v>731</v>
      </c>
    </row>
    <row r="7" spans="1:25" ht="15" customHeight="1" x14ac:dyDescent="0.3">
      <c r="A7" s="91"/>
      <c r="B7" s="92"/>
      <c r="C7" s="46">
        <v>0.63194444444444442</v>
      </c>
      <c r="D7" s="47">
        <v>0.65277777777777779</v>
      </c>
      <c r="E7" s="48" t="s">
        <v>69</v>
      </c>
      <c r="F7" s="49" t="s">
        <v>596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2"/>
      <c r="C8" s="46">
        <v>0.70833333333333337</v>
      </c>
      <c r="D8" s="47">
        <v>0.83333333333333337</v>
      </c>
      <c r="E8" s="48"/>
      <c r="F8" s="49" t="s">
        <v>887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 t="str">
        <f t="shared" ref="A10" si="2">PROPER(TEXT(B10, "dddd"))</f>
        <v>Tisdag</v>
      </c>
      <c r="B10" s="93">
        <f t="shared" ref="B10" si="3">Tisdag15</f>
        <v>45755</v>
      </c>
      <c r="C10" s="46">
        <v>0.33333333333333331</v>
      </c>
      <c r="D10" s="54">
        <v>0.375</v>
      </c>
      <c r="E10" s="55" t="s">
        <v>100</v>
      </c>
      <c r="F10" s="56" t="s">
        <v>807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0.39583333333333331</v>
      </c>
      <c r="D11" s="54">
        <v>0.4375</v>
      </c>
      <c r="E11" s="55" t="s">
        <v>100</v>
      </c>
      <c r="F11" s="56" t="s">
        <v>807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0.44791666666666669</v>
      </c>
      <c r="D12" s="54">
        <v>0.47916666666666669</v>
      </c>
      <c r="E12" s="55" t="s">
        <v>98</v>
      </c>
      <c r="F12" s="56" t="s">
        <v>467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0.5625</v>
      </c>
      <c r="D13" s="54">
        <v>0.64583333333333337</v>
      </c>
      <c r="E13" s="55"/>
      <c r="F13" s="56" t="s">
        <v>601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0.5625</v>
      </c>
      <c r="D14" s="54">
        <v>0.625</v>
      </c>
      <c r="E14" s="55" t="s">
        <v>98</v>
      </c>
      <c r="F14" s="56" t="s">
        <v>467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0.70833333333333337</v>
      </c>
      <c r="D15" s="54">
        <v>0.83333333333333337</v>
      </c>
      <c r="E15" s="55"/>
      <c r="F15" s="56" t="s">
        <v>887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0.83333333333333337</v>
      </c>
      <c r="D16" s="54">
        <v>0.875</v>
      </c>
      <c r="E16" s="55" t="s">
        <v>99</v>
      </c>
      <c r="F16" s="56" t="s">
        <v>900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hidden="1" customHeight="1" x14ac:dyDescent="0.3">
      <c r="A17" s="91" t="s">
        <v>0</v>
      </c>
      <c r="B17" s="93" t="s">
        <v>1</v>
      </c>
      <c r="C17" s="50" t="s">
        <v>838</v>
      </c>
      <c r="D17" s="51" t="s">
        <v>2</v>
      </c>
      <c r="E17" s="52" t="s">
        <v>3</v>
      </c>
      <c r="F17" s="53" t="s">
        <v>4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 t="str">
        <f t="shared" ref="A18" si="4">PROPER(TEXT(B18, "dddd"))</f>
        <v>Onsdag</v>
      </c>
      <c r="B18" s="93">
        <f t="shared" ref="B18" si="5">Onsdag15</f>
        <v>45756</v>
      </c>
      <c r="C18" s="46">
        <v>0.33333333333333331</v>
      </c>
      <c r="D18" s="54">
        <v>0.375</v>
      </c>
      <c r="E18" s="55" t="s">
        <v>100</v>
      </c>
      <c r="F18" s="56" t="s">
        <v>807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0.375</v>
      </c>
      <c r="D19" s="54">
        <v>0.45833333333333331</v>
      </c>
      <c r="E19" s="55"/>
      <c r="F19" s="56" t="s">
        <v>752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0.39583333333333331</v>
      </c>
      <c r="D20" s="54">
        <v>0.4375</v>
      </c>
      <c r="E20" s="55" t="s">
        <v>100</v>
      </c>
      <c r="F20" s="56" t="s">
        <v>807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/>
      <c r="B21" s="93"/>
      <c r="C21" s="46">
        <v>0.41666666666666669</v>
      </c>
      <c r="D21" s="54">
        <v>0.5</v>
      </c>
      <c r="E21" s="55"/>
      <c r="F21" s="56" t="s">
        <v>657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s="10" customFormat="1" ht="15" customHeight="1" x14ac:dyDescent="0.3">
      <c r="A22" s="91"/>
      <c r="B22" s="93"/>
      <c r="C22" s="46">
        <v>0.44791666666666669</v>
      </c>
      <c r="D22" s="54">
        <v>0.47916666666666669</v>
      </c>
      <c r="E22" s="55" t="s">
        <v>98</v>
      </c>
      <c r="F22" s="56" t="s">
        <v>467</v>
      </c>
    </row>
    <row r="23" spans="1:24" ht="15" customHeight="1" x14ac:dyDescent="0.3">
      <c r="A23" s="91"/>
      <c r="B23" s="93"/>
      <c r="C23" s="46">
        <v>0.55555555555555558</v>
      </c>
      <c r="D23" s="54">
        <v>0.63888888888888884</v>
      </c>
      <c r="E23" s="55"/>
      <c r="F23" s="56" t="s">
        <v>28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0.55555555555555558</v>
      </c>
      <c r="D24" s="54">
        <v>0.63888888888888884</v>
      </c>
      <c r="E24" s="55"/>
      <c r="F24" s="56" t="s">
        <v>791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/>
      <c r="B25" s="93"/>
      <c r="C25" s="46">
        <v>0.5625</v>
      </c>
      <c r="D25" s="54">
        <v>0.625</v>
      </c>
      <c r="E25" s="55" t="s">
        <v>98</v>
      </c>
      <c r="F25" s="56" t="s">
        <v>467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0.70833333333333337</v>
      </c>
      <c r="D26" s="54">
        <v>0.83333333333333337</v>
      </c>
      <c r="E26" s="55"/>
      <c r="F26" s="56" t="s">
        <v>887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hidden="1" customHeight="1" x14ac:dyDescent="0.3">
      <c r="A27" s="91" t="s">
        <v>0</v>
      </c>
      <c r="B27" s="93" t="s">
        <v>1</v>
      </c>
      <c r="C27" s="50" t="s">
        <v>838</v>
      </c>
      <c r="D27" s="51" t="s">
        <v>2</v>
      </c>
      <c r="E27" s="52" t="s">
        <v>3</v>
      </c>
      <c r="F27" s="53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 t="str">
        <f t="shared" ref="A28" si="6">PROPER(TEXT(B28, "dddd"))</f>
        <v>Torsdag</v>
      </c>
      <c r="B28" s="93">
        <f t="shared" ref="B28" si="7">Torsdag15</f>
        <v>45757</v>
      </c>
      <c r="C28" s="46">
        <v>0.375</v>
      </c>
      <c r="D28" s="54">
        <v>0.4375</v>
      </c>
      <c r="E28" s="55" t="s">
        <v>81</v>
      </c>
      <c r="F28" s="56" t="s">
        <v>521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0.41666666666666669</v>
      </c>
      <c r="D29" s="54">
        <v>0.5</v>
      </c>
      <c r="E29" s="55"/>
      <c r="F29" s="56" t="s">
        <v>252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91"/>
      <c r="B30" s="93"/>
      <c r="C30" s="46">
        <v>0.44791666666666669</v>
      </c>
      <c r="D30" s="54">
        <v>0.47916666666666669</v>
      </c>
      <c r="E30" s="55" t="s">
        <v>98</v>
      </c>
      <c r="F30" s="56" t="s">
        <v>467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91"/>
      <c r="B31" s="93"/>
      <c r="C31" s="46">
        <v>0.5625</v>
      </c>
      <c r="D31" s="54">
        <v>0.64583333333333337</v>
      </c>
      <c r="E31" s="55"/>
      <c r="F31" s="56" t="s">
        <v>230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91"/>
      <c r="B32" s="93"/>
      <c r="C32" s="46">
        <v>0.5625</v>
      </c>
      <c r="D32" s="54">
        <v>0.59375</v>
      </c>
      <c r="E32" s="55" t="s">
        <v>98</v>
      </c>
      <c r="F32" s="56" t="s">
        <v>467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91"/>
      <c r="B33" s="93"/>
      <c r="C33" s="46">
        <v>0.70833333333333337</v>
      </c>
      <c r="D33" s="54">
        <v>0.83333333333333337</v>
      </c>
      <c r="E33" s="55"/>
      <c r="F33" s="56" t="s">
        <v>887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s="10" customFormat="1" ht="15" customHeight="1" x14ac:dyDescent="0.3">
      <c r="A34" s="91"/>
      <c r="B34" s="93"/>
      <c r="C34" s="46">
        <v>0.83333333333333337</v>
      </c>
      <c r="D34" s="54">
        <v>0.875</v>
      </c>
      <c r="E34" s="55" t="s">
        <v>99</v>
      </c>
      <c r="F34" s="56" t="s">
        <v>867</v>
      </c>
    </row>
    <row r="35" spans="1:24" ht="15" hidden="1" customHeight="1" x14ac:dyDescent="0.3">
      <c r="A35" s="91" t="s">
        <v>0</v>
      </c>
      <c r="B35" s="93" t="s">
        <v>1</v>
      </c>
      <c r="C35" s="50" t="s">
        <v>838</v>
      </c>
      <c r="D35" s="51" t="s">
        <v>2</v>
      </c>
      <c r="E35" s="52" t="s">
        <v>3</v>
      </c>
      <c r="F35" s="53" t="s">
        <v>4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91" t="str">
        <f t="shared" ref="A36" si="8">PROPER(TEXT(B36, "dddd"))</f>
        <v>Fredag</v>
      </c>
      <c r="B36" s="93">
        <f t="shared" ref="B36" si="9">Fredag15</f>
        <v>45758</v>
      </c>
      <c r="C36" s="46">
        <v>0.41666666666666669</v>
      </c>
      <c r="D36" s="54">
        <v>0.5</v>
      </c>
      <c r="E36" s="55"/>
      <c r="F36" s="56" t="s">
        <v>643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7" spans="1:24" ht="15" customHeight="1" x14ac:dyDescent="0.3">
      <c r="A37" s="91"/>
      <c r="B37" s="93"/>
      <c r="C37" s="46">
        <v>0.45833333333333331</v>
      </c>
      <c r="D37" s="54">
        <v>0.54166666666666663</v>
      </c>
      <c r="E37" s="55"/>
      <c r="F37" s="56" t="s">
        <v>815</v>
      </c>
      <c r="G37"/>
      <c r="H37" s="1"/>
      <c r="I37" s="1"/>
      <c r="L37"/>
      <c r="M37"/>
      <c r="N37"/>
      <c r="O37"/>
      <c r="P37"/>
      <c r="Q37"/>
      <c r="R37"/>
      <c r="S37"/>
      <c r="T37"/>
      <c r="V37"/>
      <c r="W37"/>
      <c r="X37"/>
    </row>
    <row r="38" spans="1:24" ht="15" customHeight="1" x14ac:dyDescent="0.3">
      <c r="A38" s="91"/>
      <c r="B38" s="93"/>
      <c r="C38" s="46">
        <v>0.61458333333333337</v>
      </c>
      <c r="D38" s="54">
        <v>0.65625</v>
      </c>
      <c r="E38" s="55" t="s">
        <v>60</v>
      </c>
      <c r="F38" s="56" t="s">
        <v>596</v>
      </c>
      <c r="G38"/>
      <c r="H38" s="1"/>
      <c r="I38" s="1"/>
      <c r="L38"/>
      <c r="M38"/>
      <c r="N38"/>
      <c r="O38"/>
      <c r="P38"/>
      <c r="Q38"/>
      <c r="R38"/>
      <c r="S38"/>
      <c r="T38"/>
      <c r="V38"/>
      <c r="W38"/>
      <c r="X38"/>
    </row>
    <row r="39" spans="1:24" ht="15" customHeight="1" x14ac:dyDescent="0.3">
      <c r="A39" s="91"/>
      <c r="B39" s="93"/>
      <c r="C39" s="46">
        <v>0.70833333333333337</v>
      </c>
      <c r="D39" s="54">
        <v>0.83333333333333337</v>
      </c>
      <c r="E39" s="55"/>
      <c r="F39" s="56" t="s">
        <v>887</v>
      </c>
      <c r="G39"/>
      <c r="H39" s="1"/>
      <c r="I39" s="1"/>
      <c r="L39"/>
      <c r="M39"/>
      <c r="N39"/>
      <c r="O39"/>
      <c r="P39"/>
      <c r="Q39"/>
      <c r="R39"/>
      <c r="S39"/>
      <c r="T39"/>
      <c r="V39"/>
      <c r="W39"/>
      <c r="X39"/>
    </row>
    <row r="40" spans="1:24" ht="15" hidden="1" customHeight="1" x14ac:dyDescent="0.3">
      <c r="A40" s="91" t="s">
        <v>0</v>
      </c>
      <c r="B40" s="93" t="s">
        <v>1</v>
      </c>
      <c r="C40" s="50" t="s">
        <v>838</v>
      </c>
      <c r="D40" s="51" t="s">
        <v>2</v>
      </c>
      <c r="E40" s="52" t="s">
        <v>3</v>
      </c>
      <c r="F40" s="53" t="s">
        <v>4</v>
      </c>
      <c r="G40"/>
      <c r="H40" s="1"/>
      <c r="I40" s="1"/>
      <c r="L40"/>
      <c r="M40"/>
      <c r="N40"/>
      <c r="O40"/>
      <c r="P40"/>
      <c r="Q40"/>
      <c r="R40"/>
      <c r="S40"/>
      <c r="T40"/>
      <c r="V40"/>
      <c r="W40"/>
      <c r="X40"/>
    </row>
    <row r="41" spans="1:24" ht="15" customHeight="1" x14ac:dyDescent="0.3">
      <c r="A41" s="91" t="str">
        <f t="shared" ref="A41" si="10">PROPER(TEXT(B41, "dddd"))</f>
        <v>Lördag</v>
      </c>
      <c r="B41" s="93">
        <f t="shared" ref="B41" si="11">Lördag15</f>
        <v>45759</v>
      </c>
      <c r="C41" s="46">
        <v>0.375</v>
      </c>
      <c r="D41" s="54">
        <v>0.625</v>
      </c>
      <c r="E41" s="55"/>
      <c r="F41" s="56" t="s">
        <v>887</v>
      </c>
      <c r="G41"/>
      <c r="H41" s="1"/>
      <c r="I41" s="1"/>
      <c r="L41"/>
      <c r="M41"/>
      <c r="N41"/>
      <c r="O41"/>
      <c r="P41"/>
      <c r="Q41"/>
      <c r="R41"/>
      <c r="S41"/>
      <c r="T41"/>
      <c r="V41"/>
      <c r="W41"/>
      <c r="X41"/>
    </row>
    <row r="42" spans="1:24" ht="15" customHeight="1" x14ac:dyDescent="0.3">
      <c r="A42" s="91"/>
      <c r="B42" s="93"/>
      <c r="C42" s="46">
        <v>0.41666666666666669</v>
      </c>
      <c r="D42" s="54">
        <v>0.75</v>
      </c>
      <c r="E42" s="55" t="s">
        <v>97</v>
      </c>
      <c r="F42" s="56" t="s">
        <v>852</v>
      </c>
      <c r="G42"/>
      <c r="H42" s="1"/>
      <c r="I42" s="1"/>
      <c r="L42"/>
      <c r="M42"/>
      <c r="N42"/>
      <c r="O42"/>
      <c r="P42"/>
      <c r="Q42"/>
      <c r="R42"/>
      <c r="S42"/>
      <c r="T42"/>
      <c r="V42"/>
      <c r="W42"/>
      <c r="X42"/>
    </row>
    <row r="43" spans="1:24" ht="15" customHeight="1" x14ac:dyDescent="0.3">
      <c r="A43" s="91"/>
      <c r="B43" s="93"/>
      <c r="C43" s="46">
        <v>0.625</v>
      </c>
      <c r="D43" s="54">
        <v>0.66666666666666663</v>
      </c>
      <c r="E43" s="55"/>
      <c r="F43" s="56" t="s">
        <v>575</v>
      </c>
      <c r="G43"/>
      <c r="H43" s="1"/>
      <c r="I43" s="1"/>
      <c r="L43"/>
      <c r="M43"/>
      <c r="N43"/>
      <c r="O43"/>
      <c r="P43"/>
      <c r="Q43"/>
      <c r="R43"/>
      <c r="S43"/>
      <c r="T43"/>
      <c r="V43"/>
      <c r="W43"/>
      <c r="X43"/>
    </row>
    <row r="44" spans="1:24" ht="15" customHeight="1" x14ac:dyDescent="0.3">
      <c r="A44" s="91"/>
      <c r="B44" s="93"/>
      <c r="C44" s="46">
        <v>0.75</v>
      </c>
      <c r="D44" s="54">
        <v>0.875</v>
      </c>
      <c r="E44" s="55">
        <v>10</v>
      </c>
      <c r="F44" s="56" t="s">
        <v>894</v>
      </c>
      <c r="G44"/>
      <c r="H44" s="1"/>
      <c r="I44" s="1"/>
      <c r="L44"/>
      <c r="M44"/>
      <c r="N44"/>
      <c r="O44"/>
      <c r="P44"/>
      <c r="Q44"/>
      <c r="R44"/>
      <c r="S44"/>
      <c r="T44"/>
      <c r="V44"/>
      <c r="W44"/>
      <c r="X44"/>
    </row>
    <row r="45" spans="1:24" ht="15" hidden="1" customHeight="1" x14ac:dyDescent="0.3">
      <c r="A45" s="91" t="s">
        <v>0</v>
      </c>
      <c r="B45" s="93" t="s">
        <v>1</v>
      </c>
      <c r="C45" s="50" t="s">
        <v>838</v>
      </c>
      <c r="D45" s="51" t="s">
        <v>2</v>
      </c>
      <c r="E45" s="52" t="s">
        <v>3</v>
      </c>
      <c r="F45" s="53" t="s">
        <v>4</v>
      </c>
      <c r="G45"/>
      <c r="H45" s="1"/>
      <c r="I45" s="1"/>
      <c r="L45"/>
      <c r="M45"/>
      <c r="N45"/>
      <c r="O45"/>
      <c r="P45"/>
      <c r="Q45"/>
      <c r="R45"/>
      <c r="S45"/>
      <c r="T45"/>
      <c r="V45"/>
      <c r="W45"/>
      <c r="X45"/>
    </row>
    <row r="46" spans="1:24" ht="15" customHeight="1" x14ac:dyDescent="0.3">
      <c r="A46" s="91" t="str">
        <f t="shared" ref="A46" si="12">PROPER(TEXT(B46, "dddd"))</f>
        <v>Söndag</v>
      </c>
      <c r="B46" s="93">
        <f t="shared" ref="B46" si="13">Söndag15</f>
        <v>45760</v>
      </c>
      <c r="C46" s="46">
        <v>0.375</v>
      </c>
      <c r="D46" s="54">
        <v>0.79166666666666663</v>
      </c>
      <c r="E46" s="55"/>
      <c r="F46" s="56" t="s">
        <v>887</v>
      </c>
      <c r="G46"/>
      <c r="H46" s="1"/>
      <c r="I46" s="1"/>
      <c r="L46"/>
      <c r="M46"/>
      <c r="N46"/>
      <c r="O46"/>
      <c r="P46"/>
      <c r="Q46"/>
      <c r="R46"/>
      <c r="S46"/>
      <c r="T46"/>
      <c r="V46"/>
      <c r="W46"/>
      <c r="X46"/>
    </row>
    <row r="47" spans="1:24" ht="15" customHeight="1" x14ac:dyDescent="0.3">
      <c r="A47" s="91"/>
      <c r="B47" s="93"/>
      <c r="C47" s="46">
        <v>0.41666666666666669</v>
      </c>
      <c r="D47" s="54">
        <v>0.75</v>
      </c>
      <c r="E47" s="55" t="s">
        <v>97</v>
      </c>
      <c r="F47" s="56" t="s">
        <v>852</v>
      </c>
      <c r="G47"/>
      <c r="H47" s="1"/>
      <c r="I47" s="1"/>
      <c r="L47"/>
      <c r="M47"/>
      <c r="N47"/>
      <c r="O47"/>
      <c r="P47"/>
      <c r="Q47"/>
      <c r="R47"/>
      <c r="S47"/>
      <c r="T47"/>
      <c r="V47"/>
      <c r="W47"/>
      <c r="X47"/>
    </row>
    <row r="49" spans="3:4" ht="15" customHeight="1" x14ac:dyDescent="0.3">
      <c r="C49" s="46"/>
      <c r="D49" s="47"/>
    </row>
    <row r="50" spans="3:4" ht="15" customHeight="1" x14ac:dyDescent="0.3">
      <c r="C50" s="46"/>
      <c r="D50" s="8"/>
    </row>
    <row r="51" spans="3:4" ht="15" customHeight="1" x14ac:dyDescent="0.3">
      <c r="C51" s="46"/>
      <c r="D51" s="8"/>
    </row>
  </sheetData>
  <sheetProtection algorithmName="SHA-512" hashValue="4ysyf6ESxih6tpvd/HKpnlTxBPnoEYv4SkI0AYQH2IO130NphwCie0umoCNWJ64ZVQeTJC0SOmHxR86zE5bfvA==" saltValue="OhmDtmuxBsYGALWuwsValQ==" spinCount="100000" sheet="1" objects="1" scenarios="1" autoFilter="0" pivotTables="0"/>
  <sortState xmlns:xlrd2="http://schemas.microsoft.com/office/spreadsheetml/2017/richdata2" ref="A36:F38">
    <sortCondition ref="C36:C38"/>
  </sortState>
  <conditionalFormatting sqref="A41:A44 A3:A4 A46:A47 A12 A18 A20:A26 A34 A28 A30:A32 A37">
    <cfRule type="expression" dxfId="2888" priority="5">
      <formula>OR(IF($A2="Dag",1))</formula>
    </cfRule>
  </conditionalFormatting>
  <conditionalFormatting sqref="A41:A44 A3:B8 A46:B47 A10:B16 A18:B26 A28:B34 A36:B39">
    <cfRule type="cellIs" dxfId="2887" priority="2" operator="equal">
      <formula>"Datum"</formula>
    </cfRule>
    <cfRule type="cellIs" dxfId="2886" priority="3" operator="equal">
      <formula>"Dag"</formula>
    </cfRule>
  </conditionalFormatting>
  <conditionalFormatting sqref="A45">
    <cfRule type="expression" dxfId="2885" priority="23">
      <formula>OR(IF(#REF!="Dag",1))</formula>
    </cfRule>
  </conditionalFormatting>
  <conditionalFormatting sqref="A38:A39">
    <cfRule type="expression" dxfId="2884" priority="391">
      <formula>OR(IF($A36="Dag",1))</formula>
    </cfRule>
  </conditionalFormatting>
  <conditionalFormatting sqref="A13:A16">
    <cfRule type="expression" dxfId="2883" priority="379">
      <formula>OR(IF($A12="Dag",1))</formula>
    </cfRule>
  </conditionalFormatting>
  <conditionalFormatting sqref="A1:B2 A9:B9 A17:B17 A27:B27 A35:B35 A40:B40 B41:B44 A45:B45 A48:B1048576">
    <cfRule type="cellIs" dxfId="2882" priority="15" operator="equal">
      <formula>"Datum"</formula>
    </cfRule>
    <cfRule type="cellIs" dxfId="2881" priority="16" operator="equal">
      <formula>"Dag"</formula>
    </cfRule>
  </conditionalFormatting>
  <conditionalFormatting sqref="B3:B4 B12 B18 B20:B26 B34 B28 B30:B32 B37 B41:B44 B46:B47">
    <cfRule type="expression" dxfId="2880" priority="22">
      <formula>OR(IF($B2="Datum",1))</formula>
    </cfRule>
  </conditionalFormatting>
  <conditionalFormatting sqref="B38:B39">
    <cfRule type="expression" dxfId="2879" priority="395">
      <formula>OR(IF($B36="Datum",1))</formula>
    </cfRule>
  </conditionalFormatting>
  <conditionalFormatting sqref="B13:B16">
    <cfRule type="expression" dxfId="2878" priority="383">
      <formula>OR(IF($B12="Datum",1))</formula>
    </cfRule>
  </conditionalFormatting>
  <conditionalFormatting sqref="C3:E47">
    <cfRule type="expression" dxfId="2877" priority="19">
      <formula>OR(IF($E3="Hela hallen",1))</formula>
    </cfRule>
  </conditionalFormatting>
  <conditionalFormatting sqref="L1:T1048576">
    <cfRule type="cellIs" dxfId="2876" priority="14" operator="equal">
      <formula>"-"</formula>
    </cfRule>
  </conditionalFormatting>
  <conditionalFormatting sqref="A5:A8">
    <cfRule type="expression" dxfId="2875" priority="619">
      <formula>OR(IF(#REF!="Dag",1))</formula>
    </cfRule>
  </conditionalFormatting>
  <conditionalFormatting sqref="B5:B8">
    <cfRule type="expression" dxfId="2874" priority="629">
      <formula>OR(IF(#REF!="Datum",1))</formula>
    </cfRule>
  </conditionalFormatting>
  <conditionalFormatting sqref="A35">
    <cfRule type="expression" dxfId="2873" priority="643">
      <formula>OR(IF($A32="Dag",1))</formula>
    </cfRule>
  </conditionalFormatting>
  <conditionalFormatting sqref="B35">
    <cfRule type="expression" dxfId="2872" priority="647">
      <formula>OR(IF($B32="Datum",1))</formula>
    </cfRule>
  </conditionalFormatting>
  <conditionalFormatting sqref="A9">
    <cfRule type="expression" dxfId="2871" priority="1033">
      <formula>OR(IF($A5="Dag",1))</formula>
    </cfRule>
  </conditionalFormatting>
  <conditionalFormatting sqref="B9">
    <cfRule type="expression" dxfId="2870" priority="1034">
      <formula>OR(IF($B5="Datum",1))</formula>
    </cfRule>
  </conditionalFormatting>
  <conditionalFormatting sqref="A17">
    <cfRule type="expression" dxfId="2869" priority="1048">
      <formula>OR(IF($A13="Dag",1))</formula>
    </cfRule>
  </conditionalFormatting>
  <conditionalFormatting sqref="B17">
    <cfRule type="expression" dxfId="2868" priority="1049">
      <formula>OR(IF($B13="Datum",1))</formula>
    </cfRule>
  </conditionalFormatting>
  <conditionalFormatting sqref="A27">
    <cfRule type="expression" dxfId="2867" priority="1063">
      <formula>OR(IF($A22="Dag",1))</formula>
    </cfRule>
  </conditionalFormatting>
  <conditionalFormatting sqref="B27">
    <cfRule type="expression" dxfId="2866" priority="1064">
      <formula>OR(IF($B22="Datum",1))</formula>
    </cfRule>
  </conditionalFormatting>
  <conditionalFormatting sqref="A40">
    <cfRule type="expression" dxfId="2865" priority="1117">
      <formula>OR(IF($A38="Dag",1))</formula>
    </cfRule>
  </conditionalFormatting>
  <conditionalFormatting sqref="B40">
    <cfRule type="expression" dxfId="2864" priority="1121">
      <formula>OR(IF($B38="Datum",1))</formula>
    </cfRule>
  </conditionalFormatting>
  <conditionalFormatting sqref="C3:F47">
    <cfRule type="expression" dxfId="2863" priority="2051">
      <formula>OR(IF(#REF!=TRUE,1))</formula>
    </cfRule>
  </conditionalFormatting>
  <conditionalFormatting sqref="A10:A11 A19 A33 A29 A36">
    <cfRule type="expression" dxfId="2862" priority="2060">
      <formula>OR(IF(#REF!="Dag",1))</formula>
    </cfRule>
  </conditionalFormatting>
  <conditionalFormatting sqref="B10:B11 B19 B33 B29 B36 B45">
    <cfRule type="expression" dxfId="2861" priority="2067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F15486E-D6AC-4A37-983A-E352D4A5A606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A3:B4 A46:B47 A12:B16 A18:B18 A20:B26 A28:B28 A30:B32 A34:B34 A37:B37 A41:B44</xm:sqref>
        </x14:conditionalFormatting>
        <x14:conditionalFormatting xmlns:xm="http://schemas.microsoft.com/office/excel/2006/main">
          <x14:cfRule type="expression" priority="390" id="{8F15486E-D6AC-4A37-983A-E352D4A5A606}">
            <xm:f>AND(IF(ISERROR(MATCH($B38,Kalenderår!$A$3:$A$17,0)),FALSE,TRUE), IF($B36="Datum",TRUE,FALSE), IF($A36="Dag",TRUE,FALSE))</xm:f>
            <x14:dxf>
              <font>
                <color rgb="FFC00000"/>
              </font>
            </x14:dxf>
          </x14:cfRule>
          <xm:sqref>A38:B40</xm:sqref>
        </x14:conditionalFormatting>
        <x14:conditionalFormatting xmlns:xm="http://schemas.microsoft.com/office/excel/2006/main">
          <x14:cfRule type="expression" priority="639" id="{8F15486E-D6AC-4A37-983A-E352D4A5A606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A5:B8</xm:sqref>
        </x14:conditionalFormatting>
        <x14:conditionalFormatting xmlns:xm="http://schemas.microsoft.com/office/excel/2006/main">
          <x14:cfRule type="expression" priority="1050" id="{8F15486E-D6AC-4A37-983A-E352D4A5A606}">
            <xm:f>AND(IF(ISERROR(MATCH($B27,Kalenderår!$A$3:$A$17,0)),FALSE,TRUE), IF($B22="Datum",TRUE,FALSE), IF($A22="Dag",TRUE,FALSE))</xm:f>
            <x14:dxf>
              <font>
                <color rgb="FFC00000"/>
              </font>
            </x14:dxf>
          </x14:cfRule>
          <xm:sqref>A27:B27</xm:sqref>
        </x14:conditionalFormatting>
        <x14:conditionalFormatting xmlns:xm="http://schemas.microsoft.com/office/excel/2006/main">
          <x14:cfRule type="expression" priority="1128" id="{8F15486E-D6AC-4A37-983A-E352D4A5A606}">
            <xm:f>AND(IF(ISERROR(MATCH($B35,Kalenderår!$A$3:$A$17,0)),FALSE,TRUE), IF($B32="Datum",TRUE,FALSE), IF($A32="Dag",TRUE,FALSE))</xm:f>
            <x14:dxf>
              <font>
                <color rgb="FFC00000"/>
              </font>
            </x14:dxf>
          </x14:cfRule>
          <xm:sqref>A35:B35</xm:sqref>
        </x14:conditionalFormatting>
        <x14:conditionalFormatting xmlns:xm="http://schemas.microsoft.com/office/excel/2006/main">
          <x14:cfRule type="expression" priority="2058" id="{8F15486E-D6AC-4A37-983A-E352D4A5A606}">
            <xm:f>AND(IF(ISERROR(MATCH($B9,Kalenderår!$A$3:$A$17,0)),FALSE,TRUE), IF($B5="Datum",TRUE,FALSE), IF($A5="Dag",TRUE,FALSE))</xm:f>
            <x14:dxf>
              <font>
                <color rgb="FFC00000"/>
              </font>
            </x14:dxf>
          </x14:cfRule>
          <xm:sqref>A9:B9 A17:B17</xm:sqref>
        </x14:conditionalFormatting>
        <x14:conditionalFormatting xmlns:xm="http://schemas.microsoft.com/office/excel/2006/main">
          <x14:cfRule type="expression" priority="2077" id="{8F15486E-D6AC-4A37-983A-E352D4A5A606}">
            <xm:f>AND(IF(ISERROR(MATCH($B10,Kalenderår!$A$3:$A$17,0)),FALSE,TRUE),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A10:B11 A19:B19 A33:B33 A29:B29 A36:B36 A45:B45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378F2A-ED69-45AC-9CCA-4391957BC84C}">
          <x14:formula1>
            <xm:f>Listor!$A$2:$A$150</xm:f>
          </x14:formula1>
          <xm:sqref>E41:E44 E3:E8 E46:E47 E10:E16 E18:E26 E28:E34 E36:E39</xm:sqref>
        </x14:dataValidation>
        <x14:dataValidation type="list" allowBlank="1" showInputMessage="1" showErrorMessage="1" xr:uid="{53318FA1-5471-4F08-8298-884489AECC68}">
          <x14:formula1>
            <xm:f>Kontaktuppgifter!$A$2:$A$300</xm:f>
          </x14:formula1>
          <xm:sqref>F41:F44 F3:F8 F46:F47 F10:F16 F18:F26 F28:F34 F36:F39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C0CC4-D4C8-4034-9217-231FB7B78237}">
  <sheetPr codeName="Blad17">
    <pageSetUpPr fitToPage="1"/>
  </sheetPr>
  <dimension ref="A1:Y29"/>
  <sheetViews>
    <sheetView showGridLines="0" zoomScaleNormal="100" workbookViewId="0">
      <pane ySplit="2" topLeftCell="A3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Måndag16</f>
        <v>45761</v>
      </c>
      <c r="W1" s="39">
        <f>Söndag16</f>
        <v>45767</v>
      </c>
      <c r="X1" s="40">
        <f>WEEKNUM(Söndag16, 2)</f>
        <v>16</v>
      </c>
      <c r="Y1" s="41" t="str">
        <f>"V. "&amp;X1&amp;", "&amp;TEXT(V1,"D MMM")&amp;"-"&amp;TEXT(W1,"D MMM")</f>
        <v>V. 16, 14 apr-20 apr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>Måndag16</f>
        <v>45761</v>
      </c>
      <c r="C3" s="46">
        <v>0.375</v>
      </c>
      <c r="D3" s="47">
        <v>0.45833333333333331</v>
      </c>
      <c r="E3" s="48" t="s">
        <v>100</v>
      </c>
      <c r="F3" s="49" t="s">
        <v>725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0.54166666666666663</v>
      </c>
      <c r="D4" s="47">
        <v>0.60416666666666663</v>
      </c>
      <c r="E4" s="48">
        <v>2</v>
      </c>
      <c r="F4" s="49" t="s">
        <v>499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91"/>
      <c r="B5" s="92"/>
      <c r="C5" s="46">
        <v>0.70833333333333337</v>
      </c>
      <c r="D5" s="47">
        <v>0.83333333333333337</v>
      </c>
      <c r="E5" s="48"/>
      <c r="F5" s="49" t="s">
        <v>887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</row>
    <row r="7" spans="1:25" ht="15" customHeight="1" x14ac:dyDescent="0.3">
      <c r="A7" s="91" t="str">
        <f t="shared" ref="A7" si="0">PROPER(TEXT(B7, "dddd"))</f>
        <v>Tisdag</v>
      </c>
      <c r="B7" s="93">
        <f t="shared" ref="B7" si="1">Tisdag16</f>
        <v>45762</v>
      </c>
      <c r="C7" s="46">
        <v>0.5625</v>
      </c>
      <c r="D7" s="54">
        <v>0.64583333333333337</v>
      </c>
      <c r="E7" s="55"/>
      <c r="F7" s="56" t="s">
        <v>601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0.70833333333333337</v>
      </c>
      <c r="D8" s="54">
        <v>0.83333333333333337</v>
      </c>
      <c r="E8" s="55"/>
      <c r="F8" s="56" t="s">
        <v>887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</row>
    <row r="10" spans="1:25" ht="15" customHeight="1" x14ac:dyDescent="0.3">
      <c r="A10" s="91" t="str">
        <f t="shared" ref="A10" si="2">PROPER(TEXT(B10, "dddd"))</f>
        <v>Onsdag</v>
      </c>
      <c r="B10" s="93">
        <f t="shared" ref="B10" si="3">Onsdag16</f>
        <v>45763</v>
      </c>
      <c r="C10" s="46">
        <v>0.375</v>
      </c>
      <c r="D10" s="54">
        <v>0.45833333333333331</v>
      </c>
      <c r="E10" s="55"/>
      <c r="F10" s="56" t="s">
        <v>752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0.41666666666666669</v>
      </c>
      <c r="D11" s="54">
        <v>0.5</v>
      </c>
      <c r="E11" s="55"/>
      <c r="F11" s="56" t="s">
        <v>657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0.41666666666666669</v>
      </c>
      <c r="D12" s="54">
        <v>0.5</v>
      </c>
      <c r="E12" s="55" t="s">
        <v>109</v>
      </c>
      <c r="F12" s="56" t="s">
        <v>902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0.55555555555555558</v>
      </c>
      <c r="D13" s="54">
        <v>0.63888888888888884</v>
      </c>
      <c r="E13" s="55"/>
      <c r="F13" s="56" t="s">
        <v>28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0.55555555555555558</v>
      </c>
      <c r="D14" s="54">
        <v>0.63888888888888884</v>
      </c>
      <c r="E14" s="55"/>
      <c r="F14" s="56" t="s">
        <v>791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0.70833333333333337</v>
      </c>
      <c r="D15" s="54">
        <v>0.83333333333333337</v>
      </c>
      <c r="E15" s="55"/>
      <c r="F15" s="56" t="s">
        <v>887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s="10" customFormat="1" ht="20.100000000000001" hidden="1" customHeight="1" x14ac:dyDescent="0.3">
      <c r="A16" s="91" t="s">
        <v>0</v>
      </c>
      <c r="B16" s="93" t="s">
        <v>1</v>
      </c>
      <c r="C16" s="50" t="s">
        <v>838</v>
      </c>
      <c r="D16" s="51" t="s">
        <v>2</v>
      </c>
      <c r="E16" s="52" t="s">
        <v>3</v>
      </c>
      <c r="F16" s="53" t="s">
        <v>4</v>
      </c>
    </row>
    <row r="17" spans="1:24" ht="15" customHeight="1" x14ac:dyDescent="0.3">
      <c r="A17" s="91" t="str">
        <f t="shared" ref="A17" si="4">PROPER(TEXT(B17, "dddd"))</f>
        <v>Torsdag</v>
      </c>
      <c r="B17" s="93">
        <f t="shared" ref="B17" si="5">Torsdag16</f>
        <v>45764</v>
      </c>
      <c r="C17" s="46">
        <v>0.41666666666666669</v>
      </c>
      <c r="D17" s="54">
        <v>0.5</v>
      </c>
      <c r="E17" s="55"/>
      <c r="F17" s="56" t="s">
        <v>252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0.5625</v>
      </c>
      <c r="D18" s="54">
        <v>0.64583333333333337</v>
      </c>
      <c r="E18" s="55"/>
      <c r="F18" s="56" t="s">
        <v>230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0.70833333333333337</v>
      </c>
      <c r="D19" s="54">
        <v>0.83333333333333337</v>
      </c>
      <c r="E19" s="55"/>
      <c r="F19" s="56" t="s">
        <v>887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s="10" customFormat="1" ht="20.100000000000001" hidden="1" customHeight="1" x14ac:dyDescent="0.3">
      <c r="A20" s="91" t="s">
        <v>0</v>
      </c>
      <c r="B20" s="93" t="s">
        <v>1</v>
      </c>
      <c r="C20" s="50" t="s">
        <v>838</v>
      </c>
      <c r="D20" s="51" t="s">
        <v>2</v>
      </c>
      <c r="E20" s="52" t="s">
        <v>3</v>
      </c>
      <c r="F20" s="53" t="s">
        <v>4</v>
      </c>
    </row>
    <row r="21" spans="1:24" ht="15" customHeight="1" x14ac:dyDescent="0.3">
      <c r="A21" s="91" t="str">
        <f t="shared" ref="A21" si="6">PROPER(TEXT(B21, "dddd"))</f>
        <v>Fredag</v>
      </c>
      <c r="B21" s="93">
        <f t="shared" ref="B21" si="7">Fredag16</f>
        <v>45765</v>
      </c>
      <c r="C21" s="46">
        <v>0.70833333333333337</v>
      </c>
      <c r="D21" s="54">
        <v>0.83333333333333337</v>
      </c>
      <c r="E21" s="55"/>
      <c r="F21" s="56" t="s">
        <v>887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s="10" customFormat="1" ht="20.100000000000001" hidden="1" customHeight="1" x14ac:dyDescent="0.3">
      <c r="A22" s="91" t="s">
        <v>0</v>
      </c>
      <c r="B22" s="93" t="s">
        <v>1</v>
      </c>
      <c r="C22" s="50" t="s">
        <v>838</v>
      </c>
      <c r="D22" s="51" t="s">
        <v>2</v>
      </c>
      <c r="E22" s="52" t="s">
        <v>3</v>
      </c>
      <c r="F22" s="53" t="s">
        <v>4</v>
      </c>
    </row>
    <row r="23" spans="1:24" ht="15" customHeight="1" x14ac:dyDescent="0.3">
      <c r="A23" s="91" t="str">
        <f t="shared" ref="A23" si="8">PROPER(TEXT(B23, "dddd"))</f>
        <v>Lördag</v>
      </c>
      <c r="B23" s="93">
        <f t="shared" ref="B23" si="9">Lördag16</f>
        <v>45766</v>
      </c>
      <c r="C23" s="46">
        <v>0.375</v>
      </c>
      <c r="D23" s="54">
        <v>0.625</v>
      </c>
      <c r="E23" s="55"/>
      <c r="F23" s="56" t="s">
        <v>887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s="10" customFormat="1" ht="20.100000000000001" hidden="1" customHeight="1" x14ac:dyDescent="0.3">
      <c r="A24" s="91" t="s">
        <v>0</v>
      </c>
      <c r="B24" s="93" t="s">
        <v>1</v>
      </c>
      <c r="C24" s="50" t="s">
        <v>838</v>
      </c>
      <c r="D24" s="51" t="s">
        <v>2</v>
      </c>
      <c r="E24" s="52" t="s">
        <v>3</v>
      </c>
      <c r="F24" s="53" t="s">
        <v>4</v>
      </c>
    </row>
    <row r="25" spans="1:24" ht="15" customHeight="1" x14ac:dyDescent="0.3">
      <c r="A25" s="91" t="str">
        <f t="shared" ref="A25" si="10">PROPER(TEXT(B25, "dddd"))</f>
        <v>Söndag</v>
      </c>
      <c r="B25" s="93">
        <f t="shared" ref="B25" si="11">Söndag16</f>
        <v>45767</v>
      </c>
      <c r="C25" s="46">
        <v>0.375</v>
      </c>
      <c r="D25" s="54">
        <v>0.79166666666666663</v>
      </c>
      <c r="E25" s="55"/>
      <c r="F25" s="56" t="s">
        <v>887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7" spans="1:24" ht="15" customHeight="1" x14ac:dyDescent="0.3">
      <c r="C27" s="46"/>
      <c r="D27" s="47"/>
    </row>
    <row r="28" spans="1:24" ht="15" customHeight="1" x14ac:dyDescent="0.3">
      <c r="C28" s="46"/>
      <c r="D28" s="8"/>
    </row>
    <row r="29" spans="1:24" ht="15" customHeight="1" x14ac:dyDescent="0.3">
      <c r="C29" s="46"/>
      <c r="D29" s="8"/>
    </row>
  </sheetData>
  <sheetProtection algorithmName="SHA-512" hashValue="l/yX18QVvQfquUsErnBw871BTl6AGiKNKwJLKZMyVnwdK6Fgl6APxpEpyYUS7mgQt65Btyxy0BrPkzvkINnAvw==" saltValue="RPWo5BB2ph4wf7CVVEvRZw==" spinCount="100000" sheet="1" objects="1" scenarios="1" autoFilter="0" pivotTables="0"/>
  <sortState xmlns:xlrd2="http://schemas.microsoft.com/office/spreadsheetml/2017/richdata2" ref="A21:F21">
    <sortCondition ref="C21"/>
  </sortState>
  <conditionalFormatting sqref="A10:A14 A3:A4 A21 A23 A25 A8 A18:A19">
    <cfRule type="cellIs" dxfId="2797" priority="1" operator="equal">
      <formula>"Datum"</formula>
    </cfRule>
    <cfRule type="cellIs" dxfId="2796" priority="2" operator="equal">
      <formula>"Dag"</formula>
    </cfRule>
    <cfRule type="expression" dxfId="2795" priority="4">
      <formula>OR(IF($A2="Dag",1))</formula>
    </cfRule>
  </conditionalFormatting>
  <conditionalFormatting sqref="A24">
    <cfRule type="expression" dxfId="2794" priority="22">
      <formula>OR(IF(#REF!="Dag",1))</formula>
    </cfRule>
  </conditionalFormatting>
  <conditionalFormatting sqref="A1:B2 A6:B6 A9:B9 B10:B15 A16:B16 A20:B20 A22:B22 A24:B24 A26:B1048576 B3:B5 B21 B25 B7:B8 B17:B19 B23">
    <cfRule type="cellIs" dxfId="2793" priority="14" operator="equal">
      <formula>"Datum"</formula>
    </cfRule>
    <cfRule type="cellIs" dxfId="2792" priority="15" operator="equal">
      <formula>"Dag"</formula>
    </cfRule>
  </conditionalFormatting>
  <conditionalFormatting sqref="B3:B4 B8 B10:B14 B18:B19 B21 B23 B25">
    <cfRule type="expression" dxfId="2791" priority="21">
      <formula>OR(IF($B2="Datum",1))</formula>
    </cfRule>
  </conditionalFormatting>
  <conditionalFormatting sqref="C3:E25">
    <cfRule type="expression" dxfId="2790" priority="18">
      <formula>OR(IF($E3="Hela hallen",1))</formula>
    </cfRule>
  </conditionalFormatting>
  <conditionalFormatting sqref="L1:T1048576">
    <cfRule type="cellIs" dxfId="2789" priority="13" operator="equal">
      <formula>"-"</formula>
    </cfRule>
  </conditionalFormatting>
  <conditionalFormatting sqref="A15">
    <cfRule type="cellIs" dxfId="2788" priority="534" operator="equal">
      <formula>"Datum"</formula>
    </cfRule>
    <cfRule type="cellIs" dxfId="2787" priority="535" operator="equal">
      <formula>"Dag"</formula>
    </cfRule>
    <cfRule type="expression" dxfId="2786" priority="536">
      <formula>OR(IF($A13="Dag",1))</formula>
    </cfRule>
  </conditionalFormatting>
  <conditionalFormatting sqref="B15">
    <cfRule type="expression" dxfId="2785" priority="541">
      <formula>OR(IF($B13="Datum",1))</formula>
    </cfRule>
  </conditionalFormatting>
  <conditionalFormatting sqref="A5">
    <cfRule type="cellIs" dxfId="2784" priority="1092" operator="equal">
      <formula>"Datum"</formula>
    </cfRule>
    <cfRule type="cellIs" dxfId="2783" priority="1093" operator="equal">
      <formula>"Dag"</formula>
    </cfRule>
    <cfRule type="expression" dxfId="2782" priority="1094">
      <formula>OR(IF(#REF!="Dag",1))</formula>
    </cfRule>
  </conditionalFormatting>
  <conditionalFormatting sqref="B5">
    <cfRule type="expression" dxfId="2781" priority="1103">
      <formula>OR(IF(#REF!="Datum",1))</formula>
    </cfRule>
  </conditionalFormatting>
  <conditionalFormatting sqref="C3:F25">
    <cfRule type="expression" dxfId="2780" priority="2079">
      <formula>OR(IF(#REF!=TRUE,1))</formula>
    </cfRule>
  </conditionalFormatting>
  <conditionalFormatting sqref="A6 A9 A16 A20 A22">
    <cfRule type="expression" dxfId="2779" priority="2080">
      <formula>OR(IF(#REF!="Dag",1))</formula>
    </cfRule>
  </conditionalFormatting>
  <conditionalFormatting sqref="B6:B7 B9 B16:B17 B20 B22 B24">
    <cfRule type="expression" dxfId="2778" priority="2081">
      <formula>OR(IF(#REF!="Datum",1))</formula>
    </cfRule>
  </conditionalFormatting>
  <conditionalFormatting sqref="A7 A17">
    <cfRule type="cellIs" dxfId="2777" priority="2092" operator="equal">
      <formula>"Datum"</formula>
    </cfRule>
    <cfRule type="cellIs" dxfId="2776" priority="2093" operator="equal">
      <formula>"Dag"</formula>
    </cfRule>
    <cfRule type="expression" dxfId="2775" priority="2094">
      <formula>OR(IF(#REF!="Dag",1))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D43601E-D76A-4275-81C7-5F56E7167D21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A10:B14 A3:B4 A21:B21 A25:B25 A8:B8 A18:B19 A23:B23</xm:sqref>
        </x14:conditionalFormatting>
        <x14:conditionalFormatting xmlns:xm="http://schemas.microsoft.com/office/excel/2006/main">
          <x14:cfRule type="expression" priority="544" id="{8D43601E-D76A-4275-81C7-5F56E7167D21}">
            <xm:f>AND(IF(ISERROR(MATCH($B15,Kalenderår!$A$3:$A$17,0)),FALSE,TRUE), IF($B13="Datum",TRUE,FALSE), IF($A13="Dag",TRUE,FALSE))</xm:f>
            <x14:dxf>
              <font>
                <color rgb="FFC00000"/>
              </font>
            </x14:dxf>
          </x14:cfRule>
          <xm:sqref>A15:B15</xm:sqref>
        </x14:conditionalFormatting>
        <x14:conditionalFormatting xmlns:xm="http://schemas.microsoft.com/office/excel/2006/main">
          <x14:cfRule type="expression" priority="1113" id="{8D43601E-D76A-4275-81C7-5F56E7167D21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</xm:sqref>
        </x14:conditionalFormatting>
        <x14:conditionalFormatting xmlns:xm="http://schemas.microsoft.com/office/excel/2006/main">
          <x14:cfRule type="expression" priority="2088" id="{6DC04591-9C49-4FB7-B97D-8EF340797356}">
            <xm:f>AND(IF(ISERROR(MATCH($B6,Kalenderår!$A$3:$A$17,0)),FALSE,TRUE), IF(#REF!="Datum",TRUE,FALSE), IF(#REF!="Dag",TRUE,FALSE))</xm:f>
            <x14:dxf>
              <font>
                <color rgb="FFC00000"/>
              </font>
            </x14:dxf>
          </x14:cfRule>
          <xm:sqref>A6:B7 A9:B9 A16:B17 A20:B20 A22:B22 A24:B24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A78367-8659-4ECF-9E73-290E8FD2CA8E}">
          <x14:formula1>
            <xm:f>Kontaktuppgifter!$A$2:$A$300</xm:f>
          </x14:formula1>
          <xm:sqref>F10:F15 F3:F5 F21 F25 F7:F8 F17:F19 F23</xm:sqref>
        </x14:dataValidation>
        <x14:dataValidation type="list" allowBlank="1" showInputMessage="1" showErrorMessage="1" xr:uid="{0F4C0A8E-FB03-4D88-BB75-6FC349F39DC1}">
          <x14:formula1>
            <xm:f>Listor!$A$2:$A$150</xm:f>
          </x14:formula1>
          <xm:sqref>E10:E15 E3:E5 E21 E25 E7:E8 E17:E19 E23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EA68E-A230-4A24-8206-002A604A1AB7}">
  <sheetPr codeName="Blad18"/>
  <dimension ref="A1:Y39"/>
  <sheetViews>
    <sheetView showGridLines="0" zoomScaleNormal="100" workbookViewId="0">
      <pane ySplit="2" topLeftCell="A10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66" style="8" bestFit="1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Måndag17</f>
        <v>45768</v>
      </c>
      <c r="W1" s="39">
        <f>Söndag17</f>
        <v>45774</v>
      </c>
      <c r="X1" s="40">
        <f>WEEKNUM(Söndag17, 2)</f>
        <v>17</v>
      </c>
      <c r="Y1" s="41" t="str">
        <f>"V. "&amp;X1&amp;", "&amp;TEXT(V1,"D MMM")&amp;"-"&amp;TEXT(W1,"D MMM")</f>
        <v>V. 17, 21 apr-27 apr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Måndag17</f>
        <v>45768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2">PROPER(TEXT(B5, "dddd"))</f>
        <v>Tisdag</v>
      </c>
      <c r="B5" s="93">
        <f t="shared" ref="B5" si="3">Tisdag17</f>
        <v>45769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 t="s">
        <v>94</v>
      </c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0.5625</v>
      </c>
      <c r="D7" s="54">
        <v>0.64583333333333337</v>
      </c>
      <c r="E7" s="55"/>
      <c r="F7" s="56" t="s">
        <v>601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0.70833333333333337</v>
      </c>
      <c r="D8" s="54">
        <v>0.83333333333333337</v>
      </c>
      <c r="E8" s="55"/>
      <c r="F8" s="56" t="s">
        <v>887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0.72916666666666663</v>
      </c>
      <c r="D9" s="54">
        <v>0.8125</v>
      </c>
      <c r="E9" s="55" t="s">
        <v>83</v>
      </c>
      <c r="F9" s="56" t="s">
        <v>871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0.83333333333333337</v>
      </c>
      <c r="D10" s="54">
        <v>0.875</v>
      </c>
      <c r="E10" s="55" t="s">
        <v>99</v>
      </c>
      <c r="F10" s="56" t="s">
        <v>900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hidden="1" customHeight="1" x14ac:dyDescent="0.3">
      <c r="A11" s="91" t="s">
        <v>0</v>
      </c>
      <c r="B11" s="93" t="s">
        <v>1</v>
      </c>
      <c r="C11" s="50" t="s">
        <v>838</v>
      </c>
      <c r="D11" s="51" t="s">
        <v>2</v>
      </c>
      <c r="E11" s="52" t="s">
        <v>3</v>
      </c>
      <c r="F11" s="53" t="s">
        <v>4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 t="str">
        <f t="shared" ref="A12" si="4">PROPER(TEXT(B12, "dddd"))</f>
        <v>Onsdag</v>
      </c>
      <c r="B12" s="93">
        <f t="shared" ref="B12" si="5">Onsdag17</f>
        <v>45770</v>
      </c>
      <c r="C12" s="46">
        <v>0.33333333333333331</v>
      </c>
      <c r="D12" s="54">
        <v>0.41666666666666669</v>
      </c>
      <c r="E12" s="55">
        <v>50</v>
      </c>
      <c r="F12" s="56" t="s">
        <v>731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0.375</v>
      </c>
      <c r="D13" s="54">
        <v>0.45833333333333331</v>
      </c>
      <c r="E13" s="55"/>
      <c r="F13" s="56" t="s">
        <v>752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0.41666666666666669</v>
      </c>
      <c r="D14" s="54">
        <v>0.5</v>
      </c>
      <c r="E14" s="55"/>
      <c r="F14" s="56" t="s">
        <v>657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0.55555555555555558</v>
      </c>
      <c r="D15" s="54">
        <v>0.63888888888888884</v>
      </c>
      <c r="E15" s="55"/>
      <c r="F15" s="56" t="s">
        <v>28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0.55555555555555558</v>
      </c>
      <c r="D16" s="54">
        <v>0.63888888888888884</v>
      </c>
      <c r="E16" s="55"/>
      <c r="F16" s="56" t="s">
        <v>791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0.70833333333333337</v>
      </c>
      <c r="D17" s="54">
        <v>0.83333333333333337</v>
      </c>
      <c r="E17" s="55"/>
      <c r="F17" s="56" t="s">
        <v>887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s="10" customFormat="1" ht="15" customHeight="1" x14ac:dyDescent="0.3">
      <c r="A18" s="91"/>
      <c r="B18" s="93"/>
      <c r="C18" s="46">
        <v>0.84375</v>
      </c>
      <c r="D18" s="54">
        <v>0.875</v>
      </c>
      <c r="E18" s="55" t="s">
        <v>69</v>
      </c>
      <c r="F18" s="56" t="s">
        <v>926</v>
      </c>
    </row>
    <row r="19" spans="1:24" ht="15" hidden="1" customHeight="1" x14ac:dyDescent="0.3">
      <c r="A19" s="91" t="s">
        <v>0</v>
      </c>
      <c r="B19" s="93" t="s">
        <v>1</v>
      </c>
      <c r="C19" s="50" t="s">
        <v>838</v>
      </c>
      <c r="D19" s="51" t="s">
        <v>2</v>
      </c>
      <c r="E19" s="52" t="s">
        <v>3</v>
      </c>
      <c r="F19" s="53" t="s">
        <v>4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 t="str">
        <f t="shared" ref="A20" si="6">PROPER(TEXT(B20, "dddd"))</f>
        <v>Torsdag</v>
      </c>
      <c r="B20" s="93">
        <f t="shared" ref="B20" si="7">Torsdag17</f>
        <v>45771</v>
      </c>
      <c r="C20" s="46">
        <v>0.375</v>
      </c>
      <c r="D20" s="54">
        <v>0.4375</v>
      </c>
      <c r="E20" s="55" t="s">
        <v>81</v>
      </c>
      <c r="F20" s="56" t="s">
        <v>521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/>
      <c r="B21" s="93"/>
      <c r="C21" s="46">
        <v>0.41666666666666669</v>
      </c>
      <c r="D21" s="54">
        <v>0.5</v>
      </c>
      <c r="E21" s="55"/>
      <c r="F21" s="56" t="s">
        <v>252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0.5625</v>
      </c>
      <c r="D22" s="54">
        <v>0.64583333333333337</v>
      </c>
      <c r="E22" s="55"/>
      <c r="F22" s="56" t="s">
        <v>230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0.70833333333333337</v>
      </c>
      <c r="D23" s="54">
        <v>0.83333333333333337</v>
      </c>
      <c r="E23" s="55"/>
      <c r="F23" s="56" t="s">
        <v>887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s="10" customFormat="1" ht="15" customHeight="1" x14ac:dyDescent="0.3">
      <c r="A24" s="91"/>
      <c r="B24" s="93"/>
      <c r="C24" s="46">
        <v>0.83333333333333337</v>
      </c>
      <c r="D24" s="54">
        <v>0.875</v>
      </c>
      <c r="E24" s="55" t="s">
        <v>99</v>
      </c>
      <c r="F24" s="56" t="s">
        <v>867</v>
      </c>
    </row>
    <row r="25" spans="1:24" ht="15" hidden="1" customHeight="1" x14ac:dyDescent="0.3">
      <c r="A25" s="91" t="s">
        <v>0</v>
      </c>
      <c r="B25" s="93" t="s">
        <v>1</v>
      </c>
      <c r="C25" s="50" t="s">
        <v>838</v>
      </c>
      <c r="D25" s="51" t="s">
        <v>2</v>
      </c>
      <c r="E25" s="52" t="s">
        <v>3</v>
      </c>
      <c r="F25" s="53" t="s">
        <v>4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 t="str">
        <f t="shared" ref="A26" si="8">PROPER(TEXT(B26, "dddd"))</f>
        <v>Fredag</v>
      </c>
      <c r="B26" s="93">
        <f t="shared" ref="B26" si="9">Fredag17</f>
        <v>45772</v>
      </c>
      <c r="C26" s="46">
        <v>0.375</v>
      </c>
      <c r="D26" s="54">
        <v>0.4375</v>
      </c>
      <c r="E26" s="55" t="s">
        <v>57</v>
      </c>
      <c r="F26" s="56" t="s">
        <v>521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/>
      <c r="B27" s="93"/>
      <c r="C27" s="46">
        <v>0.41666666666666669</v>
      </c>
      <c r="D27" s="54">
        <v>0.5</v>
      </c>
      <c r="E27" s="55"/>
      <c r="F27" s="56" t="s">
        <v>643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0.45833333333333331</v>
      </c>
      <c r="D28" s="54">
        <v>0.54166666666666663</v>
      </c>
      <c r="E28" s="55"/>
      <c r="F28" s="56" t="s">
        <v>815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0.70833333333333337</v>
      </c>
      <c r="D29" s="54">
        <v>0.83333333333333337</v>
      </c>
      <c r="E29" s="55"/>
      <c r="F29" s="56" t="s">
        <v>887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hidden="1" customHeight="1" x14ac:dyDescent="0.3">
      <c r="A30" s="91" t="s">
        <v>0</v>
      </c>
      <c r="B30" s="93" t="s">
        <v>1</v>
      </c>
      <c r="C30" s="50" t="s">
        <v>838</v>
      </c>
      <c r="D30" s="51" t="s">
        <v>2</v>
      </c>
      <c r="E30" s="52" t="s">
        <v>3</v>
      </c>
      <c r="F30" s="53" t="s">
        <v>4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91" t="str">
        <f t="shared" ref="A31" si="10">PROPER(TEXT(B31, "dddd"))</f>
        <v>Lördag</v>
      </c>
      <c r="B31" s="93">
        <f t="shared" ref="B31" si="11">Lördag17</f>
        <v>45773</v>
      </c>
      <c r="C31" s="46">
        <v>0.375</v>
      </c>
      <c r="D31" s="54">
        <v>0.625</v>
      </c>
      <c r="E31" s="55"/>
      <c r="F31" s="56" t="s">
        <v>887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91"/>
      <c r="B32" s="93"/>
      <c r="C32" s="46">
        <v>0.625</v>
      </c>
      <c r="D32" s="54">
        <v>0.66666666666666663</v>
      </c>
      <c r="E32" s="55"/>
      <c r="F32" s="56" t="s">
        <v>575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91"/>
      <c r="B33" s="93"/>
      <c r="C33" s="46">
        <v>0.66666666666666663</v>
      </c>
      <c r="D33" s="54">
        <v>0.91666666666666663</v>
      </c>
      <c r="E33" s="55" t="s">
        <v>100</v>
      </c>
      <c r="F33" s="56" t="s">
        <v>909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hidden="1" customHeight="1" x14ac:dyDescent="0.3">
      <c r="A34" s="91" t="s">
        <v>0</v>
      </c>
      <c r="B34" s="93" t="s">
        <v>1</v>
      </c>
      <c r="C34" s="50" t="s">
        <v>838</v>
      </c>
      <c r="D34" s="51" t="s">
        <v>2</v>
      </c>
      <c r="E34" s="52" t="s">
        <v>3</v>
      </c>
      <c r="F34" s="53" t="s">
        <v>4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91" t="str">
        <f t="shared" ref="A35" si="12">PROPER(TEXT(B35, "dddd"))</f>
        <v>Söndag</v>
      </c>
      <c r="B35" s="93">
        <f t="shared" ref="B35" si="13">Söndag17</f>
        <v>45774</v>
      </c>
      <c r="C35" s="46">
        <v>0.375</v>
      </c>
      <c r="D35" s="54">
        <v>0.79166666666666663</v>
      </c>
      <c r="E35" s="55"/>
      <c r="F35" s="56" t="s">
        <v>887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7" spans="1:24" ht="15" customHeight="1" x14ac:dyDescent="0.3">
      <c r="C37" s="46"/>
      <c r="D37" s="47"/>
    </row>
    <row r="38" spans="1:24" ht="15" customHeight="1" x14ac:dyDescent="0.3">
      <c r="C38" s="46"/>
      <c r="D38" s="8"/>
    </row>
    <row r="39" spans="1:24" ht="15" customHeight="1" x14ac:dyDescent="0.3">
      <c r="C39" s="46"/>
      <c r="D39" s="8"/>
    </row>
  </sheetData>
  <sheetProtection algorithmName="SHA-512" hashValue="CWGhfiXASQSz3hsqIzg75SypJdRxIilcJJuGF3Iv8IMFObbERfT7yo6mxp8tQLRj5EhtkSor76mY1NbzS0DWHw==" saltValue="gk88rTmX2z5cf1mEG7nERA==" spinCount="100000" sheet="1" objects="1" scenarios="1" autoFilter="0" pivotTables="0"/>
  <sortState xmlns:xlrd2="http://schemas.microsoft.com/office/spreadsheetml/2017/richdata2" ref="A26:F29">
    <sortCondition ref="C26:C29"/>
  </sortState>
  <conditionalFormatting sqref="A26:A29 A3 A31:A33 A35 A5:A17 A19:A24">
    <cfRule type="expression" dxfId="2714" priority="4">
      <formula>OR(IF($A2="Dag",1))</formula>
    </cfRule>
  </conditionalFormatting>
  <conditionalFormatting sqref="A20:A24 A26:A29 A5:A10 A12:A18 A3:B3 A31:B33 A35:B35">
    <cfRule type="cellIs" dxfId="2713" priority="1" operator="equal">
      <formula>"Datum"</formula>
    </cfRule>
    <cfRule type="cellIs" dxfId="2712" priority="2" operator="equal">
      <formula>"Dag"</formula>
    </cfRule>
  </conditionalFormatting>
  <conditionalFormatting sqref="A34">
    <cfRule type="expression" dxfId="2711" priority="22">
      <formula>OR(IF(#REF!="Dag",1))</formula>
    </cfRule>
  </conditionalFormatting>
  <conditionalFormatting sqref="A18">
    <cfRule type="expression" dxfId="2710" priority="402">
      <formula>OR(IF($A16="Dag",1))</formula>
    </cfRule>
  </conditionalFormatting>
  <conditionalFormatting sqref="A1:B2 A4:B4 A11:B11 A19:B19 B20:B24 A25:B25 B26:B29 A30:B30 A34:B34 A36:B1048576 B5:B10 B12:B18">
    <cfRule type="cellIs" dxfId="2709" priority="14" operator="equal">
      <formula>"Datum"</formula>
    </cfRule>
    <cfRule type="cellIs" dxfId="2708" priority="15" operator="equal">
      <formula>"Dag"</formula>
    </cfRule>
  </conditionalFormatting>
  <conditionalFormatting sqref="B3 B5:B17 B19:B24 B26:B29 B31:B33 B35">
    <cfRule type="expression" dxfId="2707" priority="21">
      <formula>OR(IF($B2="Datum",1))</formula>
    </cfRule>
  </conditionalFormatting>
  <conditionalFormatting sqref="B18">
    <cfRule type="expression" dxfId="2706" priority="406">
      <formula>OR(IF($B16="Datum",1))</formula>
    </cfRule>
  </conditionalFormatting>
  <conditionalFormatting sqref="C3:E35">
    <cfRule type="expression" dxfId="2705" priority="18">
      <formula>OR(IF($E3="Hela hallen",1))</formula>
    </cfRule>
  </conditionalFormatting>
  <conditionalFormatting sqref="L1:T1048576">
    <cfRule type="cellIs" dxfId="2704" priority="13" operator="equal">
      <formula>"-"</formula>
    </cfRule>
  </conditionalFormatting>
  <conditionalFormatting sqref="C3:F35">
    <cfRule type="expression" dxfId="2703" priority="2096">
      <formula>OR(IF(#REF!=TRUE,1))</formula>
    </cfRule>
  </conditionalFormatting>
  <conditionalFormatting sqref="A4 A25 A30">
    <cfRule type="expression" dxfId="2702" priority="2097">
      <formula>OR(IF(#REF!="Dag",1))</formula>
    </cfRule>
  </conditionalFormatting>
  <conditionalFormatting sqref="B4 B25 B30 B34">
    <cfRule type="expression" dxfId="2701" priority="2098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DED44F8-621B-4DEF-B6CF-FBE98C07E06B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A12:A17 A3:B3 A31:B33 A35:B35 A5:B11 A19:B24 A26:B29</xm:sqref>
        </x14:conditionalFormatting>
        <x14:conditionalFormatting xmlns:xm="http://schemas.microsoft.com/office/excel/2006/main">
          <x14:cfRule type="expression" priority="401" id="{DDED44F8-621B-4DEF-B6CF-FBE98C07E06B}">
            <xm:f>AND(IF(ISERROR(MATCH($B18,Kalenderår!$A$3:$A$17,0)),FALSE,TRUE), IF($B16="Datum",TRUE,FALSE), IF($A16="Dag",TRUE,FALSE))</xm:f>
            <x14:dxf>
              <font>
                <color rgb="FFC00000"/>
              </font>
            </x14:dxf>
          </x14:cfRule>
          <xm:sqref>A18:B18</xm:sqref>
        </x14:conditionalFormatting>
        <x14:conditionalFormatting xmlns:xm="http://schemas.microsoft.com/office/excel/2006/main">
          <x14:cfRule type="expression" priority="17" id="{A866BB05-3628-47B2-AD34-2A7E5BD7E88A}">
            <xm:f>AND(IF(ISERROR(MATCH($B12,Kalenderår!$A$3:$A$17,0)),FALSE,TRUE), IF($B11="Datum",TRUE,FALSE), IF($A11="Dag",TRUE,FALSE))</xm:f>
            <x14:dxf>
              <font>
                <color rgb="FFC00000"/>
              </font>
            </x14:dxf>
          </x14:cfRule>
          <xm:sqref>B12:B17</xm:sqref>
        </x14:conditionalFormatting>
        <x14:conditionalFormatting xmlns:xm="http://schemas.microsoft.com/office/excel/2006/main">
          <x14:cfRule type="expression" priority="2105" id="{A866BB05-3628-47B2-AD34-2A7E5BD7E88A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A25:B25 A30:B30 A34:B34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C9DE97-1077-4C61-A619-8CE9D0114D19}">
          <x14:formula1>
            <xm:f>Listor!$A$2:$A$150</xm:f>
          </x14:formula1>
          <xm:sqref>E20:E24 E26:E29 E5:E10 E12:E18 E3 E31:E33 E35</xm:sqref>
        </x14:dataValidation>
        <x14:dataValidation type="list" allowBlank="1" showInputMessage="1" showErrorMessage="1" xr:uid="{D082B1E1-E2DF-44FA-8011-1246C27ED271}">
          <x14:formula1>
            <xm:f>Kontaktuppgifter!$A$2:$A$300</xm:f>
          </x14:formula1>
          <xm:sqref>F20:F24 F26:F29 F5:F10 F12:F18 F3 F31:F33 F35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AE24C-5C4D-4F75-A17A-69657DC41869}">
  <sheetPr codeName="Blad19">
    <pageSetUpPr fitToPage="1"/>
  </sheetPr>
  <dimension ref="A1:Y32"/>
  <sheetViews>
    <sheetView showGridLines="0" zoomScaleNormal="100" workbookViewId="0">
      <pane ySplit="2" topLeftCell="A3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Måndag18</f>
        <v>45775</v>
      </c>
      <c r="W1" s="39">
        <f>Söndag18</f>
        <v>45781</v>
      </c>
      <c r="X1" s="40">
        <f>WEEKNUM(Söndag18, 2)</f>
        <v>18</v>
      </c>
      <c r="Y1" s="41" t="str">
        <f>"V. "&amp;X1&amp;", "&amp;TEXT(V1,"D MMM")&amp;"-"&amp;TEXT(W1,"D MMM")</f>
        <v>V. 18, 28 apr-4 maj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Måndag18</f>
        <v>45775</v>
      </c>
      <c r="C3" s="46">
        <v>0.33333333333333331</v>
      </c>
      <c r="D3" s="47">
        <v>0.41666666666666669</v>
      </c>
      <c r="E3" s="48">
        <v>50</v>
      </c>
      <c r="F3" s="49" t="s">
        <v>731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0.58333333333333337</v>
      </c>
      <c r="D4" s="47">
        <v>0.625</v>
      </c>
      <c r="E4" s="48">
        <v>50</v>
      </c>
      <c r="F4" s="49" t="s">
        <v>731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91"/>
      <c r="B5" s="92"/>
      <c r="C5" s="46">
        <v>0.66666666666666663</v>
      </c>
      <c r="D5" s="47">
        <v>0.75</v>
      </c>
      <c r="E5" s="48" t="s">
        <v>100</v>
      </c>
      <c r="F5" s="49" t="s">
        <v>725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</row>
    <row r="7" spans="1:25" ht="15" customHeight="1" x14ac:dyDescent="0.3">
      <c r="A7" s="91" t="str">
        <f>PROPER(TEXT(B7, "dddd"))</f>
        <v>Tisdag</v>
      </c>
      <c r="B7" s="93">
        <f t="shared" ref="B7" si="1">Tisdag18</f>
        <v>45776</v>
      </c>
      <c r="C7" s="46">
        <v>0.33333333333333331</v>
      </c>
      <c r="D7" s="54">
        <v>0.39583333333333331</v>
      </c>
      <c r="E7" s="55"/>
      <c r="F7" s="56" t="s">
        <v>522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0.33333333333333331</v>
      </c>
      <c r="D8" s="54">
        <v>0.375</v>
      </c>
      <c r="E8" s="55">
        <v>50</v>
      </c>
      <c r="F8" s="56" t="s">
        <v>731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0.375</v>
      </c>
      <c r="D9" s="54">
        <v>0.45833333333333331</v>
      </c>
      <c r="E9" s="55" t="s">
        <v>128</v>
      </c>
      <c r="F9" s="56" t="s">
        <v>521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0.5625</v>
      </c>
      <c r="D10" s="54">
        <v>0.64583333333333337</v>
      </c>
      <c r="E10" s="55"/>
      <c r="F10" s="56" t="s">
        <v>601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0.375</v>
      </c>
      <c r="D11" s="47">
        <v>0.45833333333333331</v>
      </c>
      <c r="E11" s="48" t="s">
        <v>100</v>
      </c>
      <c r="F11" s="49" t="s">
        <v>725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>PROPER(TEXT(B13, "dddd"))</f>
        <v>Onsdag</v>
      </c>
      <c r="B13" s="93">
        <f t="shared" ref="B13" si="2">Onsdag18</f>
        <v>45777</v>
      </c>
      <c r="C13" s="46">
        <v>0.33333333333333331</v>
      </c>
      <c r="D13" s="54">
        <v>0.41666666666666669</v>
      </c>
      <c r="E13" s="55">
        <v>50</v>
      </c>
      <c r="F13" s="56" t="s">
        <v>731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0.375</v>
      </c>
      <c r="D14" s="54">
        <v>0.45833333333333331</v>
      </c>
      <c r="E14" s="55"/>
      <c r="F14" s="56" t="s">
        <v>752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0.41666666666666669</v>
      </c>
      <c r="D15" s="54">
        <v>0.5</v>
      </c>
      <c r="E15" s="55"/>
      <c r="F15" s="56" t="s">
        <v>657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0.55555555555555558</v>
      </c>
      <c r="D16" s="54">
        <v>0.63888888888888884</v>
      </c>
      <c r="E16" s="55"/>
      <c r="F16" s="56" t="s">
        <v>28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0.55555555555555558</v>
      </c>
      <c r="D17" s="54">
        <v>0.63888888888888884</v>
      </c>
      <c r="E17" s="55"/>
      <c r="F17" s="56" t="s">
        <v>791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s="10" customFormat="1" ht="20.100000000000001" hidden="1" customHeight="1" x14ac:dyDescent="0.3">
      <c r="A18" s="91" t="s">
        <v>0</v>
      </c>
      <c r="B18" s="93" t="s">
        <v>1</v>
      </c>
      <c r="C18" s="50" t="s">
        <v>838</v>
      </c>
      <c r="D18" s="51" t="s">
        <v>2</v>
      </c>
      <c r="E18" s="52" t="s">
        <v>3</v>
      </c>
      <c r="F18" s="53" t="s">
        <v>4</v>
      </c>
    </row>
    <row r="19" spans="1:24" ht="15" customHeight="1" x14ac:dyDescent="0.3">
      <c r="A19" s="91" t="str">
        <f>PROPER(TEXT(B19, "dddd"))</f>
        <v>Torsdag</v>
      </c>
      <c r="B19" s="93">
        <f t="shared" ref="B19" si="3">Torsdag18</f>
        <v>45778</v>
      </c>
      <c r="C19" s="46"/>
      <c r="D19" s="54"/>
      <c r="E19" s="55"/>
      <c r="F19" s="56"/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s="10" customFormat="1" ht="20.100000000000001" hidden="1" customHeight="1" x14ac:dyDescent="0.3">
      <c r="A20" s="91" t="s">
        <v>0</v>
      </c>
      <c r="B20" s="93" t="s">
        <v>1</v>
      </c>
      <c r="C20" s="50" t="s">
        <v>838</v>
      </c>
      <c r="D20" s="51" t="s">
        <v>2</v>
      </c>
      <c r="E20" s="52" t="s">
        <v>3</v>
      </c>
      <c r="F20" s="53" t="s">
        <v>4</v>
      </c>
    </row>
    <row r="21" spans="1:24" ht="15" customHeight="1" x14ac:dyDescent="0.3">
      <c r="A21" s="91" t="str">
        <f>PROPER(TEXT(B21, "dddd"))</f>
        <v>Fredag</v>
      </c>
      <c r="B21" s="93">
        <f t="shared" ref="B21" si="4">Fredag18</f>
        <v>45779</v>
      </c>
      <c r="C21" s="46">
        <v>0.375</v>
      </c>
      <c r="D21" s="54">
        <v>0.4375</v>
      </c>
      <c r="E21" s="55" t="s">
        <v>57</v>
      </c>
      <c r="F21" s="56" t="s">
        <v>521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0.41666666666666669</v>
      </c>
      <c r="D22" s="54">
        <v>0.5</v>
      </c>
      <c r="E22" s="55"/>
      <c r="F22" s="56" t="s">
        <v>643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0.45833333333333331</v>
      </c>
      <c r="D23" s="54">
        <v>0.54166666666666663</v>
      </c>
      <c r="E23" s="55"/>
      <c r="F23" s="56" t="s">
        <v>815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s="10" customFormat="1" ht="20.100000000000001" hidden="1" customHeight="1" x14ac:dyDescent="0.3">
      <c r="A24" s="91" t="s">
        <v>0</v>
      </c>
      <c r="B24" s="93" t="s">
        <v>1</v>
      </c>
      <c r="C24" s="50" t="s">
        <v>838</v>
      </c>
      <c r="D24" s="51" t="s">
        <v>2</v>
      </c>
      <c r="E24" s="52" t="s">
        <v>3</v>
      </c>
      <c r="F24" s="53" t="s">
        <v>4</v>
      </c>
    </row>
    <row r="25" spans="1:24" ht="15" customHeight="1" x14ac:dyDescent="0.3">
      <c r="A25" s="91" t="str">
        <f>PROPER(TEXT(B25, "dddd"))</f>
        <v>Lördag</v>
      </c>
      <c r="B25" s="93">
        <f t="shared" ref="B25" si="5">Lördag18</f>
        <v>45780</v>
      </c>
      <c r="C25" s="46">
        <v>0.625</v>
      </c>
      <c r="D25" s="54">
        <v>0.66666666666666663</v>
      </c>
      <c r="E25" s="55"/>
      <c r="F25" s="56" t="s">
        <v>575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0.66666666666666663</v>
      </c>
      <c r="D26" s="54">
        <v>0.79166666666666663</v>
      </c>
      <c r="E26" s="55"/>
      <c r="F26" s="56" t="s">
        <v>916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s="10" customFormat="1" ht="20.100000000000001" hidden="1" customHeight="1" x14ac:dyDescent="0.3">
      <c r="A27" s="91" t="s">
        <v>0</v>
      </c>
      <c r="B27" s="93" t="s">
        <v>1</v>
      </c>
      <c r="C27" s="50" t="s">
        <v>838</v>
      </c>
      <c r="D27" s="51" t="s">
        <v>2</v>
      </c>
      <c r="E27" s="52" t="s">
        <v>3</v>
      </c>
      <c r="F27" s="53" t="s">
        <v>4</v>
      </c>
    </row>
    <row r="28" spans="1:24" ht="15" customHeight="1" x14ac:dyDescent="0.3">
      <c r="A28" s="91" t="str">
        <f>PROPER(TEXT(B28, "dddd"))</f>
        <v>Söndag</v>
      </c>
      <c r="B28" s="93">
        <f t="shared" ref="B28" si="6">Söndag18</f>
        <v>45781</v>
      </c>
      <c r="C28" s="46"/>
      <c r="D28" s="54"/>
      <c r="E28" s="55"/>
      <c r="F28" s="56"/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30" spans="1:24" ht="15" customHeight="1" x14ac:dyDescent="0.3">
      <c r="C30" s="46"/>
      <c r="D30" s="47"/>
    </row>
    <row r="31" spans="1:24" ht="15" customHeight="1" x14ac:dyDescent="0.3">
      <c r="C31" s="46"/>
      <c r="D31" s="8"/>
    </row>
    <row r="32" spans="1:24" ht="15" customHeight="1" x14ac:dyDescent="0.3">
      <c r="C32" s="46"/>
      <c r="D32" s="8"/>
    </row>
  </sheetData>
  <sheetProtection algorithmName="SHA-512" hashValue="Lv9kySXeED6YqZJhv7AqDM6wvjrYgg/joVe0rcdzsVS+Nu+hd7tVpCu7s24KfLpx44Pl/p4FyGvHBCZvfmMYCw==" saltValue="pqBXaaRf/ztx3jZOl1KpyQ==" spinCount="100000" sheet="1" objects="1" scenarios="1" autoFilter="0" pivotTables="0"/>
  <conditionalFormatting sqref="A7:A11 A13:A17 A19 A25:A26 A28 A21:A23 A3:A4">
    <cfRule type="expression" dxfId="2640" priority="10">
      <formula>OR(IF($A2="Dag",1))</formula>
    </cfRule>
  </conditionalFormatting>
  <conditionalFormatting sqref="A7:A11 A19:B19 A13:B17 A25:B26 A28:B28 A21:B23 A3:B5">
    <cfRule type="cellIs" dxfId="2639" priority="7" operator="equal">
      <formula>"Datum"</formula>
    </cfRule>
    <cfRule type="cellIs" dxfId="2638" priority="8" operator="equal">
      <formula>"Dag"</formula>
    </cfRule>
  </conditionalFormatting>
  <conditionalFormatting sqref="A27">
    <cfRule type="expression" dxfId="2637" priority="28">
      <formula>OR(IF(#REF!="Dag",1))</formula>
    </cfRule>
  </conditionalFormatting>
  <conditionalFormatting sqref="A1:B2 A6:B6 B7:B11 A12:B12 A18:B18 A20:B20 A24:B24 A27:B27 A29:B1048576">
    <cfRule type="cellIs" dxfId="2636" priority="20" operator="equal">
      <formula>"Datum"</formula>
    </cfRule>
    <cfRule type="cellIs" dxfId="2635" priority="21" operator="equal">
      <formula>"Dag"</formula>
    </cfRule>
  </conditionalFormatting>
  <conditionalFormatting sqref="B3:B4 B7:B11 B13:B17 B19 B21:B23 B25:B26 B28">
    <cfRule type="expression" dxfId="2634" priority="27">
      <formula>OR(IF($B2="Datum",1))</formula>
    </cfRule>
  </conditionalFormatting>
  <conditionalFormatting sqref="C3:E4 C6:E10 C12:E28">
    <cfRule type="expression" dxfId="2633" priority="24">
      <formula>OR(IF($E3="Hela hallen",1))</formula>
    </cfRule>
  </conditionalFormatting>
  <conditionalFormatting sqref="C5:D5 C11:D11">
    <cfRule type="expression" dxfId="2632" priority="22">
      <formula>OR(IF($E5="Hela hallen",1))</formula>
    </cfRule>
  </conditionalFormatting>
  <conditionalFormatting sqref="L1:T1 L29:T1048576">
    <cfRule type="cellIs" dxfId="2631" priority="19" operator="equal">
      <formula>"-"</formula>
    </cfRule>
  </conditionalFormatting>
  <conditionalFormatting sqref="E5">
    <cfRule type="expression" dxfId="2630" priority="5">
      <formula>OR(IF($E5="Hela hallen",1))</formula>
    </cfRule>
  </conditionalFormatting>
  <conditionalFormatting sqref="E11">
    <cfRule type="expression" dxfId="2629" priority="2">
      <formula>OR(IF($E11="Hela hallen",1))</formula>
    </cfRule>
  </conditionalFormatting>
  <conditionalFormatting sqref="A5:A6 A12 A18 A20 A24">
    <cfRule type="expression" dxfId="2628" priority="2107">
      <formula>OR(IF(#REF!="Dag",1))</formula>
    </cfRule>
  </conditionalFormatting>
  <conditionalFormatting sqref="B5:B6 B12 B18 B20 B24 B27">
    <cfRule type="expression" dxfId="2627" priority="2113">
      <formula>OR(IF(#REF!="Datum",1))</formula>
    </cfRule>
  </conditionalFormatting>
  <conditionalFormatting sqref="C3:F28">
    <cfRule type="expression" dxfId="2626" priority="2118">
      <formula>OR(IF(#REF!=TRUE,1))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325F93E-3E0D-4DEA-9313-131DE54FED51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A19:B19 A25:B26 A28:B28 A21:B23 A3:B4 A7:B11 A13:B17</xm:sqref>
        </x14:conditionalFormatting>
        <x14:conditionalFormatting xmlns:xm="http://schemas.microsoft.com/office/excel/2006/main">
          <x14:cfRule type="expression" priority="2117" id="{F325F93E-3E0D-4DEA-9313-131DE54FED51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A5:B6 A12:B12 A18:B18 A20:B20 A24:B24 A27:B27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ECA7550-CB89-485D-BA37-90CE4351B6CD}">
          <x14:formula1>
            <xm:f>Kontaktuppgifter!$A$2:$A$300</xm:f>
          </x14:formula1>
          <xm:sqref>F7:F11 F19 F13:F17 F25:F26 F28 F21:F23 F3:F5</xm:sqref>
        </x14:dataValidation>
        <x14:dataValidation type="list" allowBlank="1" showInputMessage="1" showErrorMessage="1" xr:uid="{242204C2-EA37-4179-AA13-37962FB537C4}">
          <x14:formula1>
            <xm:f>Listor!$A$2:$A$150</xm:f>
          </x14:formula1>
          <xm:sqref>E7:E11 E19 E13:E17 E25:E26 E28 E21:E23 E3:E5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74D1-83E7-421E-912F-0DF7EE8EC9BA}">
  <sheetPr codeName="Blad20">
    <pageSetUpPr fitToPage="1"/>
  </sheetPr>
  <dimension ref="A1:Y36"/>
  <sheetViews>
    <sheetView showGridLines="0" zoomScaleNormal="100" workbookViewId="0">
      <pane ySplit="2" topLeftCell="A10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Måndag19</f>
        <v>45782</v>
      </c>
      <c r="W1" s="39">
        <f>Söndag19</f>
        <v>45788</v>
      </c>
      <c r="X1" s="40">
        <f>WEEKNUM(Söndag19, 2)</f>
        <v>19</v>
      </c>
      <c r="Y1" s="41" t="str">
        <f>"V. "&amp;X1&amp;", "&amp;TEXT(V1,"D MMM")&amp;"-"&amp;TEXT(W1,"D MMM")</f>
        <v>V. 19, 5 maj-11 maj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Måndag19</f>
        <v>45782</v>
      </c>
      <c r="C3" s="46">
        <v>0.33333333333333331</v>
      </c>
      <c r="D3" s="47">
        <v>0.41666666666666669</v>
      </c>
      <c r="E3" s="48">
        <v>50</v>
      </c>
      <c r="F3" s="49" t="s">
        <v>731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0.58333333333333337</v>
      </c>
      <c r="D4" s="47">
        <v>0.625</v>
      </c>
      <c r="E4" s="48">
        <v>50</v>
      </c>
      <c r="F4" s="49" t="s">
        <v>731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91"/>
      <c r="B5" s="92"/>
      <c r="C5" s="46">
        <v>0.58333333333333337</v>
      </c>
      <c r="D5" s="47">
        <v>0.625</v>
      </c>
      <c r="E5" s="48">
        <v>40</v>
      </c>
      <c r="F5" s="49" t="s">
        <v>248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 t="str">
        <f>PROPER(TEXT(B7, "dddd"))</f>
        <v>Tisdag</v>
      </c>
      <c r="B7" s="93">
        <f t="shared" ref="B7" si="1">Tisdag19</f>
        <v>45783</v>
      </c>
      <c r="C7" s="46">
        <v>0.33333333333333331</v>
      </c>
      <c r="D7" s="54">
        <v>0.39583333333333331</v>
      </c>
      <c r="E7" s="55"/>
      <c r="F7" s="56" t="s">
        <v>522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0.33333333333333331</v>
      </c>
      <c r="D8" s="54">
        <v>0.375</v>
      </c>
      <c r="E8" s="55">
        <v>50</v>
      </c>
      <c r="F8" s="56" t="s">
        <v>731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0.375</v>
      </c>
      <c r="D9" s="54">
        <v>0.44791666666666669</v>
      </c>
      <c r="E9" s="55" t="s">
        <v>94</v>
      </c>
      <c r="F9" s="56" t="s">
        <v>521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0.5625</v>
      </c>
      <c r="D10" s="54">
        <v>0.64583333333333337</v>
      </c>
      <c r="E10" s="55"/>
      <c r="F10" s="56" t="s">
        <v>601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0.58333333333333337</v>
      </c>
      <c r="D11" s="54">
        <v>0.625</v>
      </c>
      <c r="E11" s="55">
        <v>40</v>
      </c>
      <c r="F11" s="56" t="s">
        <v>248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 t="str">
        <f t="shared" ref="A13" si="2">PROPER(TEXT(B13, "dddd"))</f>
        <v>Onsdag</v>
      </c>
      <c r="B13" s="93">
        <f t="shared" ref="B13" si="3">Onsdag19</f>
        <v>45784</v>
      </c>
      <c r="C13" s="46">
        <v>0.375</v>
      </c>
      <c r="D13" s="54">
        <v>0.45833333333333331</v>
      </c>
      <c r="E13" s="55"/>
      <c r="F13" s="56" t="s">
        <v>752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0.375</v>
      </c>
      <c r="D14" s="54">
        <v>0.41666666666666669</v>
      </c>
      <c r="E14" s="55">
        <v>50</v>
      </c>
      <c r="F14" s="56" t="s">
        <v>731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0.41666666666666669</v>
      </c>
      <c r="D15" s="54">
        <v>0.5</v>
      </c>
      <c r="E15" s="55"/>
      <c r="F15" s="56" t="s">
        <v>657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0.55555555555555558</v>
      </c>
      <c r="D16" s="54">
        <v>0.63888888888888884</v>
      </c>
      <c r="E16" s="55"/>
      <c r="F16" s="56" t="s">
        <v>28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0.55555555555555558</v>
      </c>
      <c r="D17" s="54">
        <v>0.63888888888888884</v>
      </c>
      <c r="E17" s="55"/>
      <c r="F17" s="56" t="s">
        <v>791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hidden="1" customHeight="1" x14ac:dyDescent="0.3">
      <c r="A18" s="91" t="s">
        <v>0</v>
      </c>
      <c r="B18" s="93" t="s">
        <v>1</v>
      </c>
      <c r="C18" s="50" t="s">
        <v>838</v>
      </c>
      <c r="D18" s="51" t="s">
        <v>2</v>
      </c>
      <c r="E18" s="52" t="s">
        <v>3</v>
      </c>
      <c r="F18" s="53" t="s">
        <v>4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 t="str">
        <f t="shared" ref="A19" si="4">PROPER(TEXT(B19, "dddd"))</f>
        <v>Torsdag</v>
      </c>
      <c r="B19" s="93">
        <f t="shared" ref="B19" si="5">Torsdag19</f>
        <v>45785</v>
      </c>
      <c r="C19" s="46">
        <v>0.33333333333333331</v>
      </c>
      <c r="D19" s="54">
        <v>0.375</v>
      </c>
      <c r="E19" s="55">
        <v>50</v>
      </c>
      <c r="F19" s="56" t="s">
        <v>731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0.375</v>
      </c>
      <c r="D20" s="54">
        <v>0.4375</v>
      </c>
      <c r="E20" s="55" t="s">
        <v>81</v>
      </c>
      <c r="F20" s="56" t="s">
        <v>521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/>
      <c r="B21" s="93"/>
      <c r="C21" s="46">
        <v>0.375</v>
      </c>
      <c r="D21" s="54">
        <v>0.54166666666666663</v>
      </c>
      <c r="E21" s="55" t="s">
        <v>128</v>
      </c>
      <c r="F21" s="56" t="s">
        <v>539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0.41666666666666669</v>
      </c>
      <c r="D22" s="54">
        <v>0.5</v>
      </c>
      <c r="E22" s="55"/>
      <c r="F22" s="56" t="s">
        <v>252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0.5625</v>
      </c>
      <c r="D23" s="54">
        <v>0.64583333333333337</v>
      </c>
      <c r="E23" s="55"/>
      <c r="F23" s="56" t="s">
        <v>230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hidden="1" customHeight="1" x14ac:dyDescent="0.3">
      <c r="A24" s="91" t="s">
        <v>0</v>
      </c>
      <c r="B24" s="93" t="s">
        <v>1</v>
      </c>
      <c r="C24" s="50" t="s">
        <v>838</v>
      </c>
      <c r="D24" s="51" t="s">
        <v>2</v>
      </c>
      <c r="E24" s="52" t="s">
        <v>3</v>
      </c>
      <c r="F24" s="53" t="s">
        <v>4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 t="str">
        <f>PROPER(TEXT(B25, "dddd"))</f>
        <v>Fredag</v>
      </c>
      <c r="B25" s="93">
        <f t="shared" ref="B25" si="6">Fredag19</f>
        <v>45786</v>
      </c>
      <c r="C25" s="46">
        <v>0.375</v>
      </c>
      <c r="D25" s="54">
        <v>0.4375</v>
      </c>
      <c r="E25" s="55" t="s">
        <v>57</v>
      </c>
      <c r="F25" s="56" t="s">
        <v>521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0.41666666666666669</v>
      </c>
      <c r="D26" s="54">
        <v>0.5</v>
      </c>
      <c r="E26" s="55"/>
      <c r="F26" s="56" t="s">
        <v>643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/>
      <c r="B27" s="93"/>
      <c r="C27" s="46">
        <v>0.45833333333333331</v>
      </c>
      <c r="D27" s="54">
        <v>0.54166666666666663</v>
      </c>
      <c r="E27" s="55"/>
      <c r="F27" s="56" t="s">
        <v>815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s="10" customFormat="1" ht="15" customHeight="1" x14ac:dyDescent="0.3">
      <c r="A28" s="91"/>
      <c r="B28" s="93"/>
      <c r="C28" s="46">
        <v>0.72916666666666663</v>
      </c>
      <c r="D28" s="54">
        <v>0.77083333333333337</v>
      </c>
      <c r="E28" s="55" t="s">
        <v>57</v>
      </c>
      <c r="F28" s="56" t="s">
        <v>499</v>
      </c>
    </row>
    <row r="29" spans="1:24" ht="15" hidden="1" customHeight="1" x14ac:dyDescent="0.3">
      <c r="A29" s="91" t="s">
        <v>0</v>
      </c>
      <c r="B29" s="93" t="s">
        <v>1</v>
      </c>
      <c r="C29" s="50" t="s">
        <v>838</v>
      </c>
      <c r="D29" s="51" t="s">
        <v>2</v>
      </c>
      <c r="E29" s="52" t="s">
        <v>3</v>
      </c>
      <c r="F29" s="53" t="s">
        <v>4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s="10" customFormat="1" ht="15" customHeight="1" x14ac:dyDescent="0.3">
      <c r="A30" s="91" t="str">
        <f>PROPER(TEXT(B30, "dddd"))</f>
        <v>Lördag</v>
      </c>
      <c r="B30" s="93">
        <f t="shared" ref="B30" si="7">Lördag19</f>
        <v>45787</v>
      </c>
      <c r="C30" s="46">
        <v>0.625</v>
      </c>
      <c r="D30" s="54">
        <v>0.66666666666666663</v>
      </c>
      <c r="E30" s="55"/>
      <c r="F30" s="56" t="s">
        <v>575</v>
      </c>
    </row>
    <row r="31" spans="1:24" ht="15" hidden="1" customHeight="1" x14ac:dyDescent="0.3">
      <c r="A31" s="91" t="s">
        <v>0</v>
      </c>
      <c r="B31" s="93" t="s">
        <v>1</v>
      </c>
      <c r="C31" s="50" t="s">
        <v>838</v>
      </c>
      <c r="D31" s="51" t="s">
        <v>2</v>
      </c>
      <c r="E31" s="52" t="s">
        <v>3</v>
      </c>
      <c r="F31" s="53" t="s">
        <v>4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91" t="str">
        <f>PROPER(TEXT(B32, "dddd"))</f>
        <v>Söndag</v>
      </c>
      <c r="B32" s="93">
        <f t="shared" ref="B32" si="8">Söndag19</f>
        <v>45788</v>
      </c>
      <c r="C32" s="46"/>
      <c r="D32" s="54"/>
      <c r="E32" s="55"/>
      <c r="F32" s="56"/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4" spans="3:4" ht="15" customHeight="1" x14ac:dyDescent="0.3">
      <c r="C34" s="46"/>
      <c r="D34" s="47"/>
    </row>
    <row r="35" spans="3:4" ht="15" customHeight="1" x14ac:dyDescent="0.3">
      <c r="C35" s="46"/>
      <c r="D35" s="8"/>
    </row>
    <row r="36" spans="3:4" ht="15" customHeight="1" x14ac:dyDescent="0.3">
      <c r="C36" s="46"/>
      <c r="D36" s="8"/>
    </row>
  </sheetData>
  <sheetProtection algorithmName="SHA-512" hashValue="kQalDdmhzYtE/RhI5bvM2vZGghbtLPKxOt1FjIUPl0uFU4sPL55MpX8aFNZ3wFIAJqRUmQIr7tk2DOhwYQ2KFw==" saltValue="zUcmRLk8tJ3YIY8heU6ASw==" spinCount="100000" sheet="1" objects="1" scenarios="1" autoFilter="0" pivotTables="0"/>
  <conditionalFormatting sqref="A19:A23 A3:A4 A25:A27 A30 A32 A6:A11 A14:A17">
    <cfRule type="expression" dxfId="2567" priority="4">
      <formula>OR(IF($A2="Dag",1))</formula>
    </cfRule>
  </conditionalFormatting>
  <conditionalFormatting sqref="A7:A11 A19:A23 A30:B30 A32:B32 A25:B28 A3:B5 A13:B17">
    <cfRule type="cellIs" dxfId="2566" priority="1" operator="equal">
      <formula>"Datum"</formula>
    </cfRule>
    <cfRule type="cellIs" dxfId="2565" priority="2" operator="equal">
      <formula>"Dag"</formula>
    </cfRule>
  </conditionalFormatting>
  <conditionalFormatting sqref="A31">
    <cfRule type="expression" dxfId="2564" priority="22">
      <formula>OR(IF(#REF!="Dag",1))</formula>
    </cfRule>
  </conditionalFormatting>
  <conditionalFormatting sqref="A29">
    <cfRule type="expression" dxfId="2563" priority="438">
      <formula>OR(IF($A28="Dag",1))</formula>
    </cfRule>
  </conditionalFormatting>
  <conditionalFormatting sqref="A1:B2 A6:B6 B7:B11 A12:B12 A18:B18 B19:B23 A24:B24 A29:B29 A31:B31 A33:B1048576">
    <cfRule type="cellIs" dxfId="2562" priority="14" operator="equal">
      <formula>"Datum"</formula>
    </cfRule>
    <cfRule type="cellIs" dxfId="2561" priority="15" operator="equal">
      <formula>"Dag"</formula>
    </cfRule>
  </conditionalFormatting>
  <conditionalFormatting sqref="B3:B4 B30 B6:B11 B14:B17 B19:B23 B25:B27 B32">
    <cfRule type="expression" dxfId="2560" priority="21">
      <formula>OR(IF($B2="Datum",1))</formula>
    </cfRule>
  </conditionalFormatting>
  <conditionalFormatting sqref="B29">
    <cfRule type="expression" dxfId="2559" priority="442">
      <formula>OR(IF($B28="Datum",1))</formula>
    </cfRule>
  </conditionalFormatting>
  <conditionalFormatting sqref="C3:E32">
    <cfRule type="expression" dxfId="2558" priority="18">
      <formula>OR(IF($E3="Hela hallen",1))</formula>
    </cfRule>
  </conditionalFormatting>
  <conditionalFormatting sqref="L1:T1048576">
    <cfRule type="cellIs" dxfId="2557" priority="13" operator="equal">
      <formula>"-"</formula>
    </cfRule>
  </conditionalFormatting>
  <conditionalFormatting sqref="A28 A5">
    <cfRule type="expression" dxfId="2556" priority="1429">
      <formula>OR(IF(#REF!="Dag",1))</formula>
    </cfRule>
  </conditionalFormatting>
  <conditionalFormatting sqref="B28 B5">
    <cfRule type="expression" dxfId="2555" priority="1439">
      <formula>OR(IF(#REF!="Datum",1))</formula>
    </cfRule>
  </conditionalFormatting>
  <conditionalFormatting sqref="C3:F32">
    <cfRule type="expression" dxfId="2554" priority="2120">
      <formula>OR(IF(#REF!=TRUE,1))</formula>
    </cfRule>
  </conditionalFormatting>
  <conditionalFormatting sqref="A12:A13 A18 A24">
    <cfRule type="expression" dxfId="2553" priority="2121">
      <formula>OR(IF(#REF!="Dag",1))</formula>
    </cfRule>
  </conditionalFormatting>
  <conditionalFormatting sqref="B12:B13 B18 B24 B31">
    <cfRule type="expression" dxfId="2552" priority="2123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B513C06-6040-4359-8FC5-13BE1164FE14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A3:B4 A25:B27 A32:B32 A6:B11 A14:B17 A19:B23 A29:B30</xm:sqref>
        </x14:conditionalFormatting>
        <x14:conditionalFormatting xmlns:xm="http://schemas.microsoft.com/office/excel/2006/main">
          <x14:cfRule type="expression" priority="1449" id="{5B513C06-6040-4359-8FC5-13BE1164FE14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 A28:B28</xm:sqref>
        </x14:conditionalFormatting>
        <x14:conditionalFormatting xmlns:xm="http://schemas.microsoft.com/office/excel/2006/main">
          <x14:cfRule type="expression" priority="2132" id="{93A0F27E-B016-43A2-AF20-EF916B0790CA}">
            <xm:f>AND(IF(ISERROR(MATCH($B12,Kalenderår!$A$3:$A$17,0)),FALSE,TRUE),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A12:B13 A18:B18 A24:B24 A31:B31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E6E9EF7-F026-4B25-9F77-80611221E654}">
          <x14:formula1>
            <xm:f>Listor!$A$2:$A$150</xm:f>
          </x14:formula1>
          <xm:sqref>E7:E11 E19:E23 E30 E32 E25:E28 E3:E5 E13:E17</xm:sqref>
        </x14:dataValidation>
        <x14:dataValidation type="list" allowBlank="1" showInputMessage="1" showErrorMessage="1" xr:uid="{3E3BF6C2-3227-4B39-9E46-7B6C7F93EC41}">
          <x14:formula1>
            <xm:f>Kontaktuppgifter!$A$2:$A$300</xm:f>
          </x14:formula1>
          <xm:sqref>F7:F11 F19:F23 F30 F32 F25:F28 F3:F5 F13:F17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FF18-4565-4310-AFC8-A9E1F8A5210F}">
  <sheetPr codeName="Blad21">
    <pageSetUpPr fitToPage="1"/>
  </sheetPr>
  <dimension ref="A1:Y34"/>
  <sheetViews>
    <sheetView showGridLines="0" zoomScaleNormal="100" workbookViewId="0">
      <pane ySplit="2" topLeftCell="A24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Måndag20</f>
        <v>45789</v>
      </c>
      <c r="W1" s="39">
        <f>Söndag20</f>
        <v>45795</v>
      </c>
      <c r="X1" s="40">
        <f>WEEKNUM(Söndag20, 2)</f>
        <v>20</v>
      </c>
      <c r="Y1" s="41" t="str">
        <f>"V. "&amp;X1&amp;", "&amp;TEXT(V1,"D MMM")&amp;"-"&amp;TEXT(W1,"D MMM")</f>
        <v>V. 20, 12 maj-18 maj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Måndag20</f>
        <v>45789</v>
      </c>
      <c r="C3" s="46">
        <v>0.33333333333333331</v>
      </c>
      <c r="D3" s="47">
        <v>0.41666666666666669</v>
      </c>
      <c r="E3" s="48">
        <v>50</v>
      </c>
      <c r="F3" s="49" t="s">
        <v>731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>PROPER(TEXT(B5, "dddd"))</f>
        <v>Tisdag</v>
      </c>
      <c r="B5" s="93">
        <f t="shared" ref="B5" si="1">Tisdag20</f>
        <v>45790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0.33333333333333331</v>
      </c>
      <c r="D6" s="54">
        <v>0.375</v>
      </c>
      <c r="E6" s="55">
        <v>50</v>
      </c>
      <c r="F6" s="56" t="s">
        <v>731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0.375</v>
      </c>
      <c r="D7" s="54">
        <v>0.44791666666666669</v>
      </c>
      <c r="E7" s="55" t="s">
        <v>94</v>
      </c>
      <c r="F7" s="56" t="s">
        <v>521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0.5625</v>
      </c>
      <c r="D8" s="54">
        <v>0.64583333333333337</v>
      </c>
      <c r="E8" s="55"/>
      <c r="F8" s="56" t="s">
        <v>601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</row>
    <row r="10" spans="1:25" ht="15" customHeight="1" x14ac:dyDescent="0.3">
      <c r="A10" s="91" t="str">
        <f>PROPER(TEXT(B10, "dddd"))</f>
        <v>Onsdag</v>
      </c>
      <c r="B10" s="93">
        <f t="shared" ref="B10" si="2">Onsdag20</f>
        <v>45791</v>
      </c>
      <c r="C10" s="46">
        <v>0.33333333333333331</v>
      </c>
      <c r="D10" s="54">
        <v>0.41666666666666669</v>
      </c>
      <c r="E10" s="55">
        <v>50</v>
      </c>
      <c r="F10" s="56" t="s">
        <v>731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0.375</v>
      </c>
      <c r="D11" s="54">
        <v>0.45833333333333331</v>
      </c>
      <c r="E11" s="55"/>
      <c r="F11" s="56" t="s">
        <v>752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0.41666666666666669</v>
      </c>
      <c r="D12" s="54">
        <v>0.5</v>
      </c>
      <c r="E12" s="55"/>
      <c r="F12" s="56" t="s">
        <v>657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0.55555555555555558</v>
      </c>
      <c r="D13" s="54">
        <v>0.63888888888888884</v>
      </c>
      <c r="E13" s="55"/>
      <c r="F13" s="56" t="s">
        <v>28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0.55555555555555558</v>
      </c>
      <c r="D14" s="54">
        <v>0.63888888888888884</v>
      </c>
      <c r="E14" s="55"/>
      <c r="F14" s="56" t="s">
        <v>791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20.100000000000001" hidden="1" customHeight="1" x14ac:dyDescent="0.3">
      <c r="A15" s="91" t="s">
        <v>0</v>
      </c>
      <c r="B15" s="93" t="s">
        <v>1</v>
      </c>
      <c r="C15" s="50" t="s">
        <v>838</v>
      </c>
      <c r="D15" s="51" t="s">
        <v>2</v>
      </c>
      <c r="E15" s="52" t="s">
        <v>3</v>
      </c>
      <c r="F15" s="53" t="s">
        <v>4</v>
      </c>
    </row>
    <row r="16" spans="1:25" ht="15" customHeight="1" x14ac:dyDescent="0.3">
      <c r="A16" s="91" t="str">
        <f>PROPER(TEXT(B16, "dddd"))</f>
        <v>Torsdag</v>
      </c>
      <c r="B16" s="93">
        <f t="shared" ref="B16" si="3">Torsdag20</f>
        <v>45792</v>
      </c>
      <c r="C16" s="46">
        <v>0.33333333333333331</v>
      </c>
      <c r="D16" s="54">
        <v>0.375</v>
      </c>
      <c r="E16" s="55">
        <v>50</v>
      </c>
      <c r="F16" s="56" t="s">
        <v>731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0.375</v>
      </c>
      <c r="D17" s="54">
        <v>0.4375</v>
      </c>
      <c r="E17" s="55" t="s">
        <v>81</v>
      </c>
      <c r="F17" s="56" t="s">
        <v>521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0.41666666666666669</v>
      </c>
      <c r="D18" s="54">
        <v>0.5</v>
      </c>
      <c r="E18" s="55"/>
      <c r="F18" s="56" t="s">
        <v>252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0.5625</v>
      </c>
      <c r="D19" s="54">
        <v>0.64583333333333337</v>
      </c>
      <c r="E19" s="55"/>
      <c r="F19" s="56" t="s">
        <v>230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0.72916666666666663</v>
      </c>
      <c r="D20" s="54">
        <v>0.875</v>
      </c>
      <c r="E20" s="55" t="s">
        <v>83</v>
      </c>
      <c r="F20" s="56" t="s">
        <v>942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hidden="1" customHeight="1" x14ac:dyDescent="0.3">
      <c r="A21" s="91" t="s">
        <v>0</v>
      </c>
      <c r="B21" s="93" t="s">
        <v>1</v>
      </c>
      <c r="C21" s="50" t="s">
        <v>838</v>
      </c>
      <c r="D21" s="51" t="s">
        <v>2</v>
      </c>
      <c r="E21" s="52" t="s">
        <v>3</v>
      </c>
      <c r="F21" s="53" t="s">
        <v>4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 t="str">
        <f t="shared" ref="A22" si="4">PROPER(TEXT(B22, "dddd"))</f>
        <v>Fredag</v>
      </c>
      <c r="B22" s="93">
        <f t="shared" ref="B22" si="5">Fredag20</f>
        <v>45793</v>
      </c>
      <c r="C22" s="46">
        <v>0.375</v>
      </c>
      <c r="D22" s="54">
        <v>0.4375</v>
      </c>
      <c r="E22" s="55" t="s">
        <v>57</v>
      </c>
      <c r="F22" s="56" t="s">
        <v>521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0.375</v>
      </c>
      <c r="D23" s="54">
        <v>0.41666666666666669</v>
      </c>
      <c r="E23" s="55"/>
      <c r="F23" s="56" t="s">
        <v>591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0.41666666666666669</v>
      </c>
      <c r="D24" s="54">
        <v>0.5</v>
      </c>
      <c r="E24" s="55"/>
      <c r="F24" s="56" t="s">
        <v>643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/>
      <c r="B25" s="93"/>
      <c r="C25" s="46">
        <v>0.45833333333333331</v>
      </c>
      <c r="D25" s="54">
        <v>0.54166666666666663</v>
      </c>
      <c r="E25" s="55"/>
      <c r="F25" s="56" t="s">
        <v>815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s="10" customFormat="1" ht="15" customHeight="1" x14ac:dyDescent="0.3">
      <c r="A26" s="91"/>
      <c r="B26" s="93"/>
      <c r="C26" s="46">
        <v>0.72916666666666663</v>
      </c>
      <c r="D26" s="54">
        <v>0.77083333333333337</v>
      </c>
      <c r="E26" s="55" t="s">
        <v>57</v>
      </c>
      <c r="F26" s="56" t="s">
        <v>499</v>
      </c>
    </row>
    <row r="27" spans="1:24" ht="15" hidden="1" customHeight="1" x14ac:dyDescent="0.3">
      <c r="A27" s="91" t="s">
        <v>0</v>
      </c>
      <c r="B27" s="93" t="s">
        <v>1</v>
      </c>
      <c r="C27" s="50" t="s">
        <v>838</v>
      </c>
      <c r="D27" s="51" t="s">
        <v>2</v>
      </c>
      <c r="E27" s="52" t="s">
        <v>3</v>
      </c>
      <c r="F27" s="53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s="10" customFormat="1" ht="15" customHeight="1" x14ac:dyDescent="0.3">
      <c r="A28" s="91" t="str">
        <f>PROPER(TEXT(B28, "dddd"))</f>
        <v>Lördag</v>
      </c>
      <c r="B28" s="93">
        <f t="shared" ref="B28" si="6">Lördag20</f>
        <v>45794</v>
      </c>
      <c r="C28" s="46">
        <v>0.625</v>
      </c>
      <c r="D28" s="54">
        <v>0.66666666666666663</v>
      </c>
      <c r="E28" s="55"/>
      <c r="F28" s="56" t="s">
        <v>575</v>
      </c>
    </row>
    <row r="29" spans="1:24" ht="15" hidden="1" customHeight="1" x14ac:dyDescent="0.3">
      <c r="A29" s="91" t="s">
        <v>0</v>
      </c>
      <c r="B29" s="93" t="s">
        <v>1</v>
      </c>
      <c r="C29" s="50" t="s">
        <v>838</v>
      </c>
      <c r="D29" s="51" t="s">
        <v>2</v>
      </c>
      <c r="E29" s="52" t="s">
        <v>3</v>
      </c>
      <c r="F29" s="53" t="s">
        <v>4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91" t="str">
        <f>PROPER(TEXT(B30, "dddd"))</f>
        <v>Söndag</v>
      </c>
      <c r="B30" s="93">
        <f t="shared" ref="B30" si="7">Söndag20</f>
        <v>45795</v>
      </c>
      <c r="C30" s="46"/>
      <c r="D30" s="54"/>
      <c r="E30" s="55"/>
      <c r="F30" s="56"/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2" spans="1:24" ht="15" customHeight="1" x14ac:dyDescent="0.3">
      <c r="C32" s="46"/>
      <c r="D32" s="47"/>
    </row>
    <row r="33" spans="3:4" ht="15" customHeight="1" x14ac:dyDescent="0.3">
      <c r="C33" s="46"/>
      <c r="D33" s="8"/>
    </row>
    <row r="34" spans="3:4" ht="15" customHeight="1" x14ac:dyDescent="0.3">
      <c r="C34" s="46"/>
      <c r="D34" s="8"/>
    </row>
  </sheetData>
  <sheetProtection algorithmName="SHA-512" hashValue="paOBEfdxHa4UmBxx3jb7kth6nonUzFdlfzfg8ibbn9uyyZnkzhts/Pk6aR0uuZIME4BkY4JiYhYwS6PrYHMtpQ==" saltValue="SkOqoQ2Apv8IIq/BOoWg+w==" spinCount="100000" sheet="1" objects="1" scenarios="1" autoFilter="0" pivotTables="0"/>
  <conditionalFormatting sqref="A10:A14 A3 A28 A30 A5:A8 A16:A19 A21 A23:A26">
    <cfRule type="expression" dxfId="2492" priority="4">
      <formula>OR(IF($A2="Dag",1))</formula>
    </cfRule>
  </conditionalFormatting>
  <conditionalFormatting sqref="A10:A14 A28:B28 A30:B30 A3:B3 A5:B8 A16:B20 A22:B26">
    <cfRule type="cellIs" dxfId="2491" priority="1" operator="equal">
      <formula>"Datum"</formula>
    </cfRule>
    <cfRule type="cellIs" dxfId="2490" priority="2" operator="equal">
      <formula>"Dag"</formula>
    </cfRule>
  </conditionalFormatting>
  <conditionalFormatting sqref="A29">
    <cfRule type="expression" dxfId="2489" priority="22">
      <formula>OR(IF(#REF!="Dag",1))</formula>
    </cfRule>
  </conditionalFormatting>
  <conditionalFormatting sqref="A27">
    <cfRule type="expression" dxfId="2488" priority="450">
      <formula>OR(IF($A26="Dag",1))</formula>
    </cfRule>
  </conditionalFormatting>
  <conditionalFormatting sqref="A1:B2 A4:B4 A9:B9 B10:B14 A15:B15 A21:B21 A27:B27 A29:B29 A31:B1048576">
    <cfRule type="cellIs" dxfId="2487" priority="14" operator="equal">
      <formula>"Datum"</formula>
    </cfRule>
    <cfRule type="cellIs" dxfId="2486" priority="15" operator="equal">
      <formula>"Dag"</formula>
    </cfRule>
  </conditionalFormatting>
  <conditionalFormatting sqref="B3 B28 B5:B8 B10:B14 B16:B19 B21 B23:B26 B30">
    <cfRule type="expression" dxfId="2485" priority="21">
      <formula>OR(IF($B2="Datum",1))</formula>
    </cfRule>
  </conditionalFormatting>
  <conditionalFormatting sqref="B27">
    <cfRule type="expression" dxfId="2484" priority="454">
      <formula>OR(IF($B26="Datum",1))</formula>
    </cfRule>
  </conditionalFormatting>
  <conditionalFormatting sqref="C3:E30">
    <cfRule type="expression" dxfId="2483" priority="18">
      <formula>OR(IF($E3="Hela hallen",1))</formula>
    </cfRule>
  </conditionalFormatting>
  <conditionalFormatting sqref="L1:T1048576">
    <cfRule type="cellIs" dxfId="2482" priority="13" operator="equal">
      <formula>"-"</formula>
    </cfRule>
  </conditionalFormatting>
  <conditionalFormatting sqref="C3:F30">
    <cfRule type="expression" dxfId="2481" priority="2134">
      <formula>OR(IF(#REF!=TRUE,1))</formula>
    </cfRule>
  </conditionalFormatting>
  <conditionalFormatting sqref="A4 A9 A15 A20 A22">
    <cfRule type="expression" dxfId="2480" priority="2135">
      <formula>OR(IF(#REF!="Dag",1))</formula>
    </cfRule>
  </conditionalFormatting>
  <conditionalFormatting sqref="B4 B9 B15 B20 B22 B29">
    <cfRule type="expression" dxfId="2479" priority="2136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93E7F1D-BC97-4D40-BF9C-174C7796F549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A30:B30 A3:B3 A5:B8 A10:B14 A16:B19 A21:B21 A23:B28</xm:sqref>
        </x14:conditionalFormatting>
        <x14:conditionalFormatting xmlns:xm="http://schemas.microsoft.com/office/excel/2006/main">
          <x14:cfRule type="expression" priority="2143" id="{21858E99-AC01-429B-AAD3-6270B055A3C1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A9:B9 A15:B15 A20:B20 A22:B22 A29:B29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886D4E-9029-46D8-8A51-E531D13FB098}">
          <x14:formula1>
            <xm:f>Kontaktuppgifter!$A$2:$A$300</xm:f>
          </x14:formula1>
          <xm:sqref>F10:F14 F28 F30 F3 F5:F8 F16:F20 F22:F26</xm:sqref>
        </x14:dataValidation>
        <x14:dataValidation type="list" allowBlank="1" showInputMessage="1" showErrorMessage="1" xr:uid="{1EA850CB-E536-4780-9DA1-701718DB769D}">
          <x14:formula1>
            <xm:f>Listor!$A$2:$A$150</xm:f>
          </x14:formula1>
          <xm:sqref>E10:E14 E28 E30 E3 E5:E8 E16:E20 E22:E26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32749-A732-41E2-B77C-7C464CBD7E4E}">
  <sheetPr codeName="Blad22">
    <pageSetUpPr fitToPage="1"/>
  </sheetPr>
  <dimension ref="A1:Y24"/>
  <sheetViews>
    <sheetView showGridLines="0" zoomScaleNormal="100" workbookViewId="0">
      <pane ySplit="2" topLeftCell="A3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Måndag21</f>
        <v>45796</v>
      </c>
      <c r="W1" s="39">
        <f>Söndag21</f>
        <v>45802</v>
      </c>
      <c r="X1" s="40">
        <f>WEEKNUM(Söndag21, 2)</f>
        <v>21</v>
      </c>
      <c r="Y1" s="41" t="str">
        <f>"V. "&amp;X1&amp;", "&amp;TEXT(V1,"D MMM")&amp;"-"&amp;TEXT(W1,"D MMM")</f>
        <v>V. 21, 19 maj-25 maj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Måndag21</f>
        <v>45796</v>
      </c>
      <c r="C3" s="46">
        <v>0.72916666666666663</v>
      </c>
      <c r="D3" s="47">
        <v>0.875</v>
      </c>
      <c r="E3" s="48" t="s">
        <v>83</v>
      </c>
      <c r="F3" s="49" t="s">
        <v>942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>PROPER(TEXT(B5, "dddd"))</f>
        <v>Tisdag</v>
      </c>
      <c r="B5" s="93">
        <f t="shared" ref="B5" si="1">Tisdag21</f>
        <v>45797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 t="s">
        <v>94</v>
      </c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91" t="s">
        <v>0</v>
      </c>
      <c r="B7" s="93" t="s">
        <v>1</v>
      </c>
      <c r="C7" s="50" t="s">
        <v>838</v>
      </c>
      <c r="D7" s="51" t="s">
        <v>2</v>
      </c>
      <c r="E7" s="52" t="s">
        <v>3</v>
      </c>
      <c r="F7" s="53" t="s">
        <v>4</v>
      </c>
    </row>
    <row r="8" spans="1:25" ht="15" customHeight="1" x14ac:dyDescent="0.3">
      <c r="A8" s="91" t="str">
        <f>PROPER(TEXT(B8, "dddd"))</f>
        <v>Onsdag</v>
      </c>
      <c r="B8" s="93">
        <f t="shared" ref="B8" si="2">Onsdag21</f>
        <v>45798</v>
      </c>
      <c r="C8" s="46">
        <v>0.41666666666666669</v>
      </c>
      <c r="D8" s="54">
        <v>0.5</v>
      </c>
      <c r="E8" s="55"/>
      <c r="F8" s="56" t="s">
        <v>657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</row>
    <row r="10" spans="1:25" ht="15" customHeight="1" x14ac:dyDescent="0.3">
      <c r="A10" s="91" t="str">
        <f>PROPER(TEXT(B10, "dddd"))</f>
        <v>Torsdag</v>
      </c>
      <c r="B10" s="93">
        <f t="shared" ref="B10" si="3">Torsdag21</f>
        <v>45799</v>
      </c>
      <c r="C10" s="46">
        <v>0.33333333333333331</v>
      </c>
      <c r="D10" s="54">
        <v>0.375</v>
      </c>
      <c r="E10" s="55">
        <v>50</v>
      </c>
      <c r="F10" s="56" t="s">
        <v>731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0.375</v>
      </c>
      <c r="D11" s="54">
        <v>0.4375</v>
      </c>
      <c r="E11" s="55" t="s">
        <v>81</v>
      </c>
      <c r="F11" s="56" t="s">
        <v>521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 t="shared" ref="A13" si="4">PROPER(TEXT(B13, "dddd"))</f>
        <v>Fredag</v>
      </c>
      <c r="B13" s="93">
        <f t="shared" ref="B13" si="5">Fredag21</f>
        <v>45800</v>
      </c>
      <c r="C13" s="46">
        <v>0.375</v>
      </c>
      <c r="D13" s="54">
        <v>0.4375</v>
      </c>
      <c r="E13" s="55" t="s">
        <v>57</v>
      </c>
      <c r="F13" s="56" t="s">
        <v>521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0.72916666666666663</v>
      </c>
      <c r="D14" s="54">
        <v>0.77083333333333337</v>
      </c>
      <c r="E14" s="55" t="s">
        <v>57</v>
      </c>
      <c r="F14" s="56" t="s">
        <v>499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20.100000000000001" hidden="1" customHeight="1" x14ac:dyDescent="0.3">
      <c r="A15" s="91" t="s">
        <v>0</v>
      </c>
      <c r="B15" s="93" t="s">
        <v>1</v>
      </c>
      <c r="C15" s="50" t="s">
        <v>838</v>
      </c>
      <c r="D15" s="51" t="s">
        <v>2</v>
      </c>
      <c r="E15" s="52" t="s">
        <v>3</v>
      </c>
      <c r="F15" s="53" t="s">
        <v>4</v>
      </c>
    </row>
    <row r="16" spans="1:25" ht="15" customHeight="1" x14ac:dyDescent="0.3">
      <c r="A16" s="91" t="str">
        <f>PROPER(TEXT(B16, "dddd"))</f>
        <v>Lördag</v>
      </c>
      <c r="B16" s="93">
        <f>Lördag21</f>
        <v>45801</v>
      </c>
      <c r="C16" s="46">
        <v>0.39583333333333331</v>
      </c>
      <c r="D16" s="54">
        <v>0.47916666666666669</v>
      </c>
      <c r="E16" s="55"/>
      <c r="F16" s="56" t="s">
        <v>939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0.5</v>
      </c>
      <c r="D17" s="54">
        <v>0.625</v>
      </c>
      <c r="E17" s="55"/>
      <c r="F17" s="56" t="s">
        <v>922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s="10" customFormat="1" ht="15" customHeight="1" x14ac:dyDescent="0.3">
      <c r="A18" s="91"/>
      <c r="B18" s="93"/>
      <c r="C18" s="46">
        <v>0.625</v>
      </c>
      <c r="D18" s="54">
        <v>0.66666666666666663</v>
      </c>
      <c r="E18" s="55"/>
      <c r="F18" s="56" t="s">
        <v>575</v>
      </c>
    </row>
    <row r="19" spans="1:24" ht="15" hidden="1" customHeight="1" x14ac:dyDescent="0.3">
      <c r="A19" s="91" t="s">
        <v>0</v>
      </c>
      <c r="B19" s="93" t="s">
        <v>1</v>
      </c>
      <c r="C19" s="50" t="s">
        <v>838</v>
      </c>
      <c r="D19" s="51" t="s">
        <v>2</v>
      </c>
      <c r="E19" s="52" t="s">
        <v>3</v>
      </c>
      <c r="F19" s="53" t="s">
        <v>4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 t="str">
        <f>PROPER(TEXT(B20, "dddd"))</f>
        <v>Söndag</v>
      </c>
      <c r="B20" s="93">
        <f t="shared" ref="B20" si="6">Söndag21</f>
        <v>45802</v>
      </c>
      <c r="C20" s="46"/>
      <c r="D20" s="54"/>
      <c r="E20" s="55"/>
      <c r="F20" s="56"/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2" spans="1:24" ht="15" customHeight="1" x14ac:dyDescent="0.3">
      <c r="C22" s="46"/>
      <c r="D22" s="47"/>
    </row>
    <row r="23" spans="1:24" ht="15" customHeight="1" x14ac:dyDescent="0.3">
      <c r="C23" s="46"/>
      <c r="D23" s="8"/>
    </row>
    <row r="24" spans="1:24" ht="15" customHeight="1" x14ac:dyDescent="0.3">
      <c r="C24" s="46"/>
      <c r="D24" s="8"/>
    </row>
  </sheetData>
  <sheetProtection algorithmName="SHA-512" hashValue="3FswQ/PXUhIqdrZp8nuI/n7saC1HccCJBKSa9JJ75k49A4xZ9TZewj16mF+4SQA6boUumgcqcz96KNGZCQTiLQ==" saltValue="xukjjJhKCikfKIkvbxcx/w==" spinCount="100000" sheet="1" objects="1" scenarios="1" autoFilter="0" pivotTables="0"/>
  <conditionalFormatting sqref="A3 A5:A6 A16 A20 A8 A10:A11 A14">
    <cfRule type="cellIs" dxfId="2420" priority="1" operator="equal">
      <formula>"Datum"</formula>
    </cfRule>
    <cfRule type="cellIs" dxfId="2419" priority="2" operator="equal">
      <formula>"Dag"</formula>
    </cfRule>
    <cfRule type="expression" dxfId="2418" priority="4">
      <formula>OR(IF($A2="Dag",1))</formula>
    </cfRule>
  </conditionalFormatting>
  <conditionalFormatting sqref="A15">
    <cfRule type="expression" dxfId="2417" priority="22">
      <formula>OR(IF(#REF!="Dag",1))</formula>
    </cfRule>
  </conditionalFormatting>
  <conditionalFormatting sqref="A1:B2 A4:B4 A7:B7 A9:B9 A12:B12 A15:B15 A19:B19 A21:B1048576 B20 B16:B18 B3 B5:B6 B8 B10:B11 B13:B14">
    <cfRule type="cellIs" dxfId="2416" priority="14" operator="equal">
      <formula>"Datum"</formula>
    </cfRule>
    <cfRule type="cellIs" dxfId="2415" priority="15" operator="equal">
      <formula>"Dag"</formula>
    </cfRule>
  </conditionalFormatting>
  <conditionalFormatting sqref="B3 B20 B5:B6 B8 B10:B11 B14 B16">
    <cfRule type="expression" dxfId="2414" priority="21">
      <formula>OR(IF($B2="Datum",1))</formula>
    </cfRule>
  </conditionalFormatting>
  <conditionalFormatting sqref="C3:E20">
    <cfRule type="expression" dxfId="2413" priority="18">
      <formula>OR(IF($E3="Hela hallen",1))</formula>
    </cfRule>
  </conditionalFormatting>
  <conditionalFormatting sqref="L1:T1048576">
    <cfRule type="cellIs" dxfId="2412" priority="13" operator="equal">
      <formula>"-"</formula>
    </cfRule>
  </conditionalFormatting>
  <conditionalFormatting sqref="A17:A18">
    <cfRule type="cellIs" dxfId="2411" priority="965" operator="equal">
      <formula>"Datum"</formula>
    </cfRule>
    <cfRule type="cellIs" dxfId="2410" priority="966" operator="equal">
      <formula>"Dag"</formula>
    </cfRule>
    <cfRule type="expression" dxfId="2409" priority="967">
      <formula>OR(IF(#REF!="Dag",1))</formula>
    </cfRule>
  </conditionalFormatting>
  <conditionalFormatting sqref="B17:B18">
    <cfRule type="expression" dxfId="2408" priority="976">
      <formula>OR(IF(#REF!="Datum",1))</formula>
    </cfRule>
  </conditionalFormatting>
  <conditionalFormatting sqref="A19">
    <cfRule type="expression" dxfId="2407" priority="1368">
      <formula>OR(IF($A17="Dag",1))</formula>
    </cfRule>
  </conditionalFormatting>
  <conditionalFormatting sqref="B19">
    <cfRule type="expression" dxfId="2406" priority="1371">
      <formula>OR(IF($B17="Datum",1))</formula>
    </cfRule>
  </conditionalFormatting>
  <conditionalFormatting sqref="C3:F20">
    <cfRule type="expression" dxfId="2405" priority="2145">
      <formula>OR(IF(#REF!=TRUE,1))</formula>
    </cfRule>
  </conditionalFormatting>
  <conditionalFormatting sqref="A4 A7 A9 A12">
    <cfRule type="expression" dxfId="2404" priority="2146">
      <formula>OR(IF(#REF!="Dag",1))</formula>
    </cfRule>
  </conditionalFormatting>
  <conditionalFormatting sqref="B4 B7 B9 B12:B13 B15">
    <cfRule type="expression" dxfId="2403" priority="2147">
      <formula>OR(IF(#REF!="Datum",1))</formula>
    </cfRule>
  </conditionalFormatting>
  <conditionalFormatting sqref="A13">
    <cfRule type="cellIs" dxfId="2402" priority="2155" operator="equal">
      <formula>"Datum"</formula>
    </cfRule>
    <cfRule type="cellIs" dxfId="2401" priority="2156" operator="equal">
      <formula>"Dag"</formula>
    </cfRule>
    <cfRule type="expression" dxfId="2400" priority="2157">
      <formula>OR(IF(#REF!="Dag",1))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1165EDB-A83E-4CCA-B581-512CC6592BC5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A16:B16 A20:B20 A5:B6 A8:B8 A10:B11 A14:B14</xm:sqref>
        </x14:conditionalFormatting>
        <x14:conditionalFormatting xmlns:xm="http://schemas.microsoft.com/office/excel/2006/main">
          <x14:cfRule type="expression" priority="985" id="{F1165EDB-A83E-4CCA-B581-512CC6592BC5}">
            <xm:f>AND(IF(ISERROR(MATCH($B17,Kalenderår!$A$3:$A$17,0)),FALSE,TRUE),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A17:B18</xm:sqref>
        </x14:conditionalFormatting>
        <x14:conditionalFormatting xmlns:xm="http://schemas.microsoft.com/office/excel/2006/main">
          <x14:cfRule type="expression" priority="2154" id="{A9EA5DD4-C342-400C-A564-8557976F1562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A7:B7 A9:B9 A12:B13 A15:B15</xm:sqref>
        </x14:conditionalFormatting>
        <x14:conditionalFormatting xmlns:xm="http://schemas.microsoft.com/office/excel/2006/main">
          <x14:cfRule type="expression" priority="2164" id="{A9EA5DD4-C342-400C-A564-8557976F1562}">
            <xm:f>AND(IF(ISERROR(MATCH($B19,Kalenderår!$A$3:$A$17,0)),FALSE,TRUE), IF($B17="Datum",TRUE,FALSE), IF($A17="Dag",TRUE,FALSE))</xm:f>
            <x14:dxf>
              <font>
                <color rgb="FFC00000"/>
              </font>
            </x14:dxf>
          </x14:cfRule>
          <xm:sqref>A19:B19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F676E0-B966-4302-9419-67F1E58FCD50}">
          <x14:formula1>
            <xm:f>Listor!$A$2:$A$150</xm:f>
          </x14:formula1>
          <xm:sqref>E20 E16:E18 E3 E5:E6 E8 E10:E11 E13:E14</xm:sqref>
        </x14:dataValidation>
        <x14:dataValidation type="list" allowBlank="1" showInputMessage="1" showErrorMessage="1" xr:uid="{2C876E07-C2B7-4864-AF37-1760F3BDFE4A}">
          <x14:formula1>
            <xm:f>Kontaktuppgifter!$A$2:$A$300</xm:f>
          </x14:formula1>
          <xm:sqref>F20 F16:F18 F3 F5:F6 F8 F10:F11 F13:F14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9894-47B4-44AD-A838-CD6B4F044C53}">
  <sheetPr codeName="Blad23">
    <pageSetUpPr fitToPage="1"/>
  </sheetPr>
  <dimension ref="A1:Y24"/>
  <sheetViews>
    <sheetView showGridLines="0" zoomScaleNormal="100" workbookViewId="0">
      <pane ySplit="2" topLeftCell="A3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Måndag22</f>
        <v>45803</v>
      </c>
      <c r="W1" s="39">
        <f>Söndag22</f>
        <v>45809</v>
      </c>
      <c r="X1" s="40">
        <f>WEEKNUM(Söndag22, 2)</f>
        <v>22</v>
      </c>
      <c r="Y1" s="41" t="str">
        <f>"V. "&amp;X1&amp;", "&amp;TEXT(V1,"D MMM")&amp;"-"&amp;TEXT(W1,"D MMM")</f>
        <v>V. 22, 26 maj-1 jun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>Måndag22</f>
        <v>45803</v>
      </c>
      <c r="C3" s="46">
        <v>0.375</v>
      </c>
      <c r="D3" s="47">
        <v>0.45833333333333331</v>
      </c>
      <c r="E3" s="48" t="s">
        <v>96</v>
      </c>
      <c r="F3" s="49" t="s">
        <v>954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0.70833333333333337</v>
      </c>
      <c r="D4" s="47">
        <v>0.79166666666666663</v>
      </c>
      <c r="E4" s="48" t="s">
        <v>83</v>
      </c>
      <c r="F4" s="49" t="s">
        <v>949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hidden="1" customHeight="1" x14ac:dyDescent="0.3">
      <c r="A5" s="91" t="s">
        <v>0</v>
      </c>
      <c r="B5" s="93" t="s">
        <v>1</v>
      </c>
      <c r="C5" s="50" t="s">
        <v>838</v>
      </c>
      <c r="D5" s="51" t="s">
        <v>2</v>
      </c>
      <c r="E5" s="52" t="s">
        <v>3</v>
      </c>
      <c r="F5" s="53" t="s">
        <v>4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 t="str">
        <f>PROPER(TEXT(B6, "dddd"))</f>
        <v>Tisdag</v>
      </c>
      <c r="B6" s="93">
        <f>Tisdag22</f>
        <v>45804</v>
      </c>
      <c r="C6" s="46">
        <v>0.33333333333333331</v>
      </c>
      <c r="D6" s="54">
        <v>0.39583333333333331</v>
      </c>
      <c r="E6" s="55"/>
      <c r="F6" s="56" t="s">
        <v>522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0.375</v>
      </c>
      <c r="D7" s="54">
        <v>0.44791666666666669</v>
      </c>
      <c r="E7" s="55" t="s">
        <v>94</v>
      </c>
      <c r="F7" s="56" t="s">
        <v>521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0.375</v>
      </c>
      <c r="D8" s="54">
        <v>0.41666666666666669</v>
      </c>
      <c r="E8" s="55" t="s">
        <v>89</v>
      </c>
      <c r="F8" s="56" t="s">
        <v>361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 t="str">
        <f t="shared" ref="A10" si="0">PROPER(TEXT(B10, "dddd"))</f>
        <v>Onsdag</v>
      </c>
      <c r="B10" s="93">
        <f t="shared" ref="B10" si="1">Onsdag22</f>
        <v>45805</v>
      </c>
      <c r="C10" s="46">
        <v>0.41666666666666669</v>
      </c>
      <c r="D10" s="54">
        <v>0.5</v>
      </c>
      <c r="E10" s="55"/>
      <c r="F10" s="56" t="s">
        <v>657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0.75</v>
      </c>
      <c r="D11" s="54">
        <v>0.79166666666666663</v>
      </c>
      <c r="E11" s="55" t="s">
        <v>63</v>
      </c>
      <c r="F11" s="56" t="s">
        <v>930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s="10" customFormat="1" ht="15" customHeight="1" x14ac:dyDescent="0.3">
      <c r="A13" s="91" t="str">
        <f>PROPER(TEXT(B13, "dddd"))</f>
        <v>Torsdag</v>
      </c>
      <c r="B13" s="93">
        <f t="shared" ref="B13" si="2">Torsdag22</f>
        <v>45806</v>
      </c>
      <c r="C13" s="46"/>
      <c r="D13" s="54"/>
      <c r="E13" s="55"/>
      <c r="F13" s="56"/>
    </row>
    <row r="14" spans="1:25" ht="15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 t="str">
        <f>PROPER(TEXT(B15, "dddd"))</f>
        <v>Fredag</v>
      </c>
      <c r="B15" s="93">
        <f>Fredag22</f>
        <v>45807</v>
      </c>
      <c r="C15" s="46">
        <v>0.375</v>
      </c>
      <c r="D15" s="54">
        <v>0.4375</v>
      </c>
      <c r="E15" s="55" t="s">
        <v>57</v>
      </c>
      <c r="F15" s="56" t="s">
        <v>521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0.77083333333333337</v>
      </c>
      <c r="D16" s="54">
        <v>0.8125</v>
      </c>
      <c r="E16" s="55" t="s">
        <v>57</v>
      </c>
      <c r="F16" s="56" t="s">
        <v>499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hidden="1" customHeight="1" x14ac:dyDescent="0.3">
      <c r="A17" s="91" t="s">
        <v>0</v>
      </c>
      <c r="B17" s="93" t="s">
        <v>1</v>
      </c>
      <c r="C17" s="50" t="s">
        <v>838</v>
      </c>
      <c r="D17" s="51" t="s">
        <v>2</v>
      </c>
      <c r="E17" s="52" t="s">
        <v>3</v>
      </c>
      <c r="F17" s="53" t="s">
        <v>4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s="10" customFormat="1" ht="15" customHeight="1" x14ac:dyDescent="0.3">
      <c r="A18" s="91" t="str">
        <f>PROPER(TEXT(B18, "dddd"))</f>
        <v>Lördag</v>
      </c>
      <c r="B18" s="93">
        <f t="shared" ref="B18" si="3">Lördag22</f>
        <v>45808</v>
      </c>
      <c r="C18" s="46">
        <v>0.625</v>
      </c>
      <c r="D18" s="54">
        <v>0.66666666666666663</v>
      </c>
      <c r="E18" s="55"/>
      <c r="F18" s="56" t="s">
        <v>575</v>
      </c>
    </row>
    <row r="19" spans="1:24" ht="15" hidden="1" customHeight="1" x14ac:dyDescent="0.3">
      <c r="A19" s="91" t="s">
        <v>0</v>
      </c>
      <c r="B19" s="93" t="s">
        <v>1</v>
      </c>
      <c r="C19" s="50" t="s">
        <v>838</v>
      </c>
      <c r="D19" s="51" t="s">
        <v>2</v>
      </c>
      <c r="E19" s="52" t="s">
        <v>3</v>
      </c>
      <c r="F19" s="53" t="s">
        <v>4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 t="str">
        <f>PROPER(TEXT(B20, "dddd"))</f>
        <v>Söndag</v>
      </c>
      <c r="B20" s="93">
        <f t="shared" ref="B20" si="4">Söndag22</f>
        <v>45809</v>
      </c>
      <c r="C20" s="46"/>
      <c r="D20" s="54"/>
      <c r="E20" s="55"/>
      <c r="F20" s="56"/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2" spans="1:24" ht="15" customHeight="1" x14ac:dyDescent="0.3">
      <c r="C22" s="46"/>
      <c r="D22" s="47"/>
    </row>
    <row r="23" spans="1:24" ht="15" customHeight="1" x14ac:dyDescent="0.3">
      <c r="C23" s="46"/>
      <c r="D23" s="8"/>
    </row>
    <row r="24" spans="1:24" ht="15" customHeight="1" x14ac:dyDescent="0.3">
      <c r="C24" s="46"/>
      <c r="D24" s="8"/>
    </row>
  </sheetData>
  <sheetProtection algorithmName="SHA-512" hashValue="O/fRbYM151RK7D3S+hbALAoGuOBEDNtTXIPjuL+Nr5RkS0i0SeOTZiRNNOFMXALTfDfp737PdUo3BBmjQbI0uw==" saltValue="Ay5rmZ4GFgoPKOnMBBjZOg==" spinCount="100000" sheet="1" objects="1" scenarios="1" autoFilter="0" pivotTables="0"/>
  <conditionalFormatting sqref="A3 A13 A15:A16 A18 A20 A6:A8 A10:A11">
    <cfRule type="cellIs" dxfId="2339" priority="3" operator="equal">
      <formula>"Datum"</formula>
    </cfRule>
    <cfRule type="cellIs" dxfId="2338" priority="4" operator="equal">
      <formula>"Dag"</formula>
    </cfRule>
    <cfRule type="expression" dxfId="2337" priority="6">
      <formula>OR(IF($A2="Dag",1))</formula>
    </cfRule>
  </conditionalFormatting>
  <conditionalFormatting sqref="A5">
    <cfRule type="expression" dxfId="2336" priority="24">
      <formula>OR(IF($A4="Dag",1))</formula>
    </cfRule>
  </conditionalFormatting>
  <conditionalFormatting sqref="A1:B2 A5:B5 A9:B9 A12:B12 A14:B14 A17:B17 A19:B19 A21:B1048576 B13 B18 B20 B3:B4 B6:B8 B10:B11 B15:B16">
    <cfRule type="cellIs" dxfId="2335" priority="16" operator="equal">
      <formula>"Datum"</formula>
    </cfRule>
    <cfRule type="cellIs" dxfId="2334" priority="17" operator="equal">
      <formula>"Dag"</formula>
    </cfRule>
  </conditionalFormatting>
  <conditionalFormatting sqref="B3 B10:B11 B5:B8 B13 B15:B16 B18 B20">
    <cfRule type="expression" dxfId="2333" priority="23">
      <formula>OR(IF($B2="Datum",1))</formula>
    </cfRule>
  </conditionalFormatting>
  <conditionalFormatting sqref="C3:E20">
    <cfRule type="expression" dxfId="2332" priority="20">
      <formula>OR(IF($E3="Hela hallen",1))</formula>
    </cfRule>
  </conditionalFormatting>
  <conditionalFormatting sqref="L1:T1048576">
    <cfRule type="cellIs" dxfId="2331" priority="15" operator="equal">
      <formula>"-"</formula>
    </cfRule>
  </conditionalFormatting>
  <conditionalFormatting sqref="A4">
    <cfRule type="cellIs" dxfId="2330" priority="1554" operator="equal">
      <formula>"Datum"</formula>
    </cfRule>
    <cfRule type="cellIs" dxfId="2329" priority="1555" operator="equal">
      <formula>"Dag"</formula>
    </cfRule>
    <cfRule type="expression" dxfId="2328" priority="1556">
      <formula>OR(IF(#REF!="Dag",1))</formula>
    </cfRule>
  </conditionalFormatting>
  <conditionalFormatting sqref="B4">
    <cfRule type="expression" dxfId="2327" priority="1562">
      <formula>OR(IF(#REF!="Datum",1))</formula>
    </cfRule>
  </conditionalFormatting>
  <conditionalFormatting sqref="A9 A12 A14 A17 A19">
    <cfRule type="expression" dxfId="2326" priority="1573">
      <formula>OR(IF(#REF!="Dag",1))</formula>
    </cfRule>
  </conditionalFormatting>
  <conditionalFormatting sqref="B9 B12 B14 B17 B19">
    <cfRule type="expression" dxfId="2325" priority="1576">
      <formula>OR(IF(#REF!="Datum",1))</formula>
    </cfRule>
  </conditionalFormatting>
  <conditionalFormatting sqref="C3:F20">
    <cfRule type="expression" dxfId="2324" priority="2166">
      <formula>OR(IF(#REF!=TRUE,1))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A41CA6B-7974-4A69-ABA5-88A08F69B286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A13:B13 A18:B18 A20:B20 A15:B16 A5:B8 A10:B11</xm:sqref>
        </x14:conditionalFormatting>
        <x14:conditionalFormatting xmlns:xm="http://schemas.microsoft.com/office/excel/2006/main">
          <x14:cfRule type="expression" priority="1572" id="{6A41CA6B-7974-4A69-ABA5-88A08F69B286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</xm:sqref>
        </x14:conditionalFormatting>
        <x14:conditionalFormatting xmlns:xm="http://schemas.microsoft.com/office/excel/2006/main">
          <x14:cfRule type="expression" priority="2172" id="{6A41CA6B-7974-4A69-ABA5-88A08F69B286}">
            <xm:f>AND(IF(ISERROR(MATCH($B9,Kalenderår!$A$3:$A$17,0)),FALSE,TRUE), IF(#REF!="Datum",TRUE,FALSE), IF(#REF!="Dag",TRUE,FALSE))</xm:f>
            <x14:dxf>
              <font>
                <color rgb="FFC00000"/>
              </font>
            </x14:dxf>
          </x14:cfRule>
          <xm:sqref>A9:B9 A12:B12 A14:B14 A17:B17 A19:B19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7B8DD8-2F8F-40A4-812B-1A068D7393AC}">
          <x14:formula1>
            <xm:f>Kontaktuppgifter!$A$2:$A$300</xm:f>
          </x14:formula1>
          <xm:sqref>F13 F18 F20 F3:F4 F6:F8 F10:F11 F15:F16</xm:sqref>
        </x14:dataValidation>
        <x14:dataValidation type="list" allowBlank="1" showInputMessage="1" showErrorMessage="1" xr:uid="{528FFA15-E50F-4F00-87F9-92B1F6A9AA83}">
          <x14:formula1>
            <xm:f>Listor!$A$2:$A$150</xm:f>
          </x14:formula1>
          <xm:sqref>E13 E18 E20 E3:E4 E6:E8 E10:E11 E15:E16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A58C-44C4-4862-A2E5-F9BCF08D2767}">
  <sheetPr codeName="Blad24">
    <pageSetUpPr fitToPage="1"/>
  </sheetPr>
  <dimension ref="A1:Y21"/>
  <sheetViews>
    <sheetView showGridLines="0" zoomScaleNormal="100" workbookViewId="0">
      <pane ySplit="2" topLeftCell="A3" activePane="bottomLeft" state="frozen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Måndag23</f>
        <v>45810</v>
      </c>
      <c r="W1" s="39">
        <f>Söndag23</f>
        <v>45816</v>
      </c>
      <c r="X1" s="40">
        <f>WEEKNUM(Söndag23, 2)</f>
        <v>23</v>
      </c>
      <c r="Y1" s="41" t="str">
        <f>"V. "&amp;X1&amp;", "&amp;TEXT(V1,"D MMM")&amp;"-"&amp;TEXT(W1,"D MMM")</f>
        <v>V. 23, 2 jun-8 jun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Måndag23</f>
        <v>45810</v>
      </c>
      <c r="C3" s="46"/>
      <c r="D3" s="47"/>
      <c r="E3" s="48"/>
      <c r="F3" s="49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>PROPER(TEXT(B5, "dddd"))</f>
        <v>Tisdag</v>
      </c>
      <c r="B5" s="93">
        <f t="shared" ref="B5" si="1">Tisdag23</f>
        <v>45811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 t="s">
        <v>94</v>
      </c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91" t="s">
        <v>0</v>
      </c>
      <c r="B7" s="93" t="s">
        <v>1</v>
      </c>
      <c r="C7" s="50" t="s">
        <v>838</v>
      </c>
      <c r="D7" s="51" t="s">
        <v>2</v>
      </c>
      <c r="E7" s="52" t="s">
        <v>3</v>
      </c>
      <c r="F7" s="53" t="s">
        <v>4</v>
      </c>
    </row>
    <row r="8" spans="1:25" ht="15" customHeight="1" x14ac:dyDescent="0.3">
      <c r="A8" s="91" t="str">
        <f>PROPER(TEXT(B8, "dddd"))</f>
        <v>Onsdag</v>
      </c>
      <c r="B8" s="93">
        <f t="shared" ref="B8" si="2">Onsdag23</f>
        <v>45812</v>
      </c>
      <c r="C8" s="46"/>
      <c r="D8" s="54"/>
      <c r="E8" s="55"/>
      <c r="F8" s="56"/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</row>
    <row r="10" spans="1:25" ht="15" customHeight="1" x14ac:dyDescent="0.3">
      <c r="A10" s="91" t="str">
        <f>PROPER(TEXT(B10, "dddd"))</f>
        <v>Torsdag</v>
      </c>
      <c r="B10" s="93">
        <f t="shared" ref="B10" si="3">Torsdag23</f>
        <v>45813</v>
      </c>
      <c r="C10" s="46">
        <v>0.375</v>
      </c>
      <c r="D10" s="54">
        <v>0.4375</v>
      </c>
      <c r="E10" s="55" t="s">
        <v>81</v>
      </c>
      <c r="F10" s="56" t="s">
        <v>521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0.41666666666666669</v>
      </c>
      <c r="D11" s="54">
        <v>0.5</v>
      </c>
      <c r="E11" s="55"/>
      <c r="F11" s="56" t="s">
        <v>252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>PROPER(TEXT(B13, "dddd"))</f>
        <v>Fredag</v>
      </c>
      <c r="B13" s="93">
        <f t="shared" ref="B13" si="4">Fredag23</f>
        <v>45814</v>
      </c>
      <c r="C13" s="46">
        <v>0.72916666666666663</v>
      </c>
      <c r="D13" s="54">
        <v>0.77083333333333337</v>
      </c>
      <c r="E13" s="55" t="s">
        <v>57</v>
      </c>
      <c r="F13" s="56" t="s">
        <v>499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</row>
    <row r="15" spans="1:25" ht="15" customHeight="1" x14ac:dyDescent="0.3">
      <c r="A15" s="91" t="str">
        <f>PROPER(TEXT(B15, "dddd"))</f>
        <v>Lördag</v>
      </c>
      <c r="B15" s="93">
        <f t="shared" ref="B15" si="5">Lördag23</f>
        <v>45815</v>
      </c>
      <c r="C15" s="46">
        <v>0.625</v>
      </c>
      <c r="D15" s="54">
        <v>0.66666666666666663</v>
      </c>
      <c r="E15" s="55"/>
      <c r="F15" s="56" t="s">
        <v>575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s="10" customFormat="1" ht="20.100000000000001" hidden="1" customHeight="1" x14ac:dyDescent="0.3">
      <c r="A16" s="91" t="s">
        <v>0</v>
      </c>
      <c r="B16" s="93" t="s">
        <v>1</v>
      </c>
      <c r="C16" s="50" t="s">
        <v>838</v>
      </c>
      <c r="D16" s="51" t="s">
        <v>2</v>
      </c>
      <c r="E16" s="52" t="s">
        <v>3</v>
      </c>
      <c r="F16" s="53" t="s">
        <v>4</v>
      </c>
    </row>
    <row r="17" spans="1:24" ht="15" customHeight="1" x14ac:dyDescent="0.3">
      <c r="A17" s="91" t="str">
        <f>PROPER(TEXT(B17, "dddd"))</f>
        <v>Söndag</v>
      </c>
      <c r="B17" s="93">
        <f t="shared" ref="B17" si="6">Söndag23</f>
        <v>45816</v>
      </c>
      <c r="C17" s="46"/>
      <c r="D17" s="54"/>
      <c r="E17" s="55"/>
      <c r="F17" s="56"/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9" spans="1:24" ht="15" customHeight="1" x14ac:dyDescent="0.3">
      <c r="C19" s="46"/>
      <c r="D19" s="47"/>
    </row>
    <row r="20" spans="1:24" ht="15" customHeight="1" x14ac:dyDescent="0.3">
      <c r="C20" s="46"/>
      <c r="D20" s="8"/>
    </row>
    <row r="21" spans="1:24" ht="15" customHeight="1" x14ac:dyDescent="0.3">
      <c r="C21" s="46"/>
      <c r="D21" s="8"/>
    </row>
  </sheetData>
  <sheetProtection algorithmName="SHA-512" hashValue="sFS9VgqZF3DmAL4fLDSn16Gh4tedsH+htNxVqtBCQPeOPUymgZyANMpHtju2/zma/tqAOU9F7WZotmCi9xE+VA==" saltValue="6grCHsuG/t3eiT/E8twDTw==" spinCount="100000" sheet="1" objects="1" scenarios="1" autoFilter="0" pivotTables="0"/>
  <conditionalFormatting sqref="A3 A5:A6 A8 A10:A11 A13 A15 A17">
    <cfRule type="cellIs" dxfId="2264" priority="1" operator="equal">
      <formula>"Datum"</formula>
    </cfRule>
    <cfRule type="cellIs" dxfId="2263" priority="2" operator="equal">
      <formula>"Dag"</formula>
    </cfRule>
    <cfRule type="expression" dxfId="2262" priority="4">
      <formula>OR(IF($A2="Dag",1))</formula>
    </cfRule>
  </conditionalFormatting>
  <conditionalFormatting sqref="A16">
    <cfRule type="expression" dxfId="2261" priority="22">
      <formula>OR(IF(#REF!="Dag",1))</formula>
    </cfRule>
  </conditionalFormatting>
  <conditionalFormatting sqref="A1:B2 A4:B4 A7:B7 A9:B9 A12:B12 A14:B14 A16:B16 A18:B1048576 B3 B5:B6 B8 B10:B11 B13 B15 B17">
    <cfRule type="cellIs" dxfId="2260" priority="14" operator="equal">
      <formula>"Datum"</formula>
    </cfRule>
    <cfRule type="cellIs" dxfId="2259" priority="15" operator="equal">
      <formula>"Dag"</formula>
    </cfRule>
  </conditionalFormatting>
  <conditionalFormatting sqref="B3 B5:B6 B8 B10:B11 B13 B15 B17">
    <cfRule type="expression" dxfId="2258" priority="21">
      <formula>OR(IF($B2="Datum",1))</formula>
    </cfRule>
  </conditionalFormatting>
  <conditionalFormatting sqref="C3:E17">
    <cfRule type="expression" dxfId="2257" priority="18">
      <formula>OR(IF($E3="Hela hallen",1))</formula>
    </cfRule>
  </conditionalFormatting>
  <conditionalFormatting sqref="L1:T1048576">
    <cfRule type="cellIs" dxfId="2256" priority="13" operator="equal">
      <formula>"-"</formula>
    </cfRule>
  </conditionalFormatting>
  <conditionalFormatting sqref="C3:F17">
    <cfRule type="expression" dxfId="2255" priority="2174">
      <formula>OR(IF(#REF!=TRUE,1))</formula>
    </cfRule>
  </conditionalFormatting>
  <conditionalFormatting sqref="A4 A7 A9 A12 A14">
    <cfRule type="expression" dxfId="2254" priority="2175">
      <formula>OR(IF(#REF!="Dag",1))</formula>
    </cfRule>
  </conditionalFormatting>
  <conditionalFormatting sqref="B4 B7 B9 B12 B14 B16">
    <cfRule type="expression" dxfId="2253" priority="2176">
      <formula>OR(IF(#REF!="Datum",1))</formula>
    </cfRule>
  </conditionalFormatting>
  <printOptions horizontalCentered="1" verticalCentered="1"/>
  <pageMargins left="0.25" right="0.25" top="0.75" bottom="0.75" header="0.3" footer="0.3"/>
  <pageSetup paperSize="8" scale="26" orientation="portrait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0C4C408-D173-4321-A20E-EB72CAFB0FC5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A5:B6 A8:B8 A10:B11 A13:B13 A15:B15 A17:B17</xm:sqref>
        </x14:conditionalFormatting>
        <x14:conditionalFormatting xmlns:xm="http://schemas.microsoft.com/office/excel/2006/main">
          <x14:cfRule type="expression" priority="2183" id="{80D7FD35-7497-4016-A31D-141D38EFB47F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A7:B7 A9:B9 A12:B12 A14:B14 A16:B16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E48999-58F9-44C4-B63A-4573E21BED76}">
          <x14:formula1>
            <xm:f>Listor!$A$2:$A$150</xm:f>
          </x14:formula1>
          <xm:sqref>E3 E5:E6 E8 E10:E11 E13 E15 E17</xm:sqref>
        </x14:dataValidation>
        <x14:dataValidation type="list" allowBlank="1" showInputMessage="1" showErrorMessage="1" xr:uid="{F81713F9-CD67-42D2-B8A5-A312AEB3BC30}">
          <x14:formula1>
            <xm:f>Kontaktuppgifter!$A$2:$A$300</xm:f>
          </x14:formula1>
          <xm:sqref>F3 F5:F6 F8 F10:F11 F13 F15 F17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679D-EAFD-468E-86A6-DD7CD206FA5B}">
  <sheetPr codeName="Blad25">
    <pageSetUpPr fitToPage="1"/>
  </sheetPr>
  <dimension ref="A1:Y21"/>
  <sheetViews>
    <sheetView showGridLines="0" zoomScaleNormal="100" workbookViewId="0">
      <pane ySplit="2" topLeftCell="A3" activePane="bottomLeft" state="frozen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Måndag24</f>
        <v>45817</v>
      </c>
      <c r="W1" s="39">
        <f>Söndag24</f>
        <v>45823</v>
      </c>
      <c r="X1" s="40">
        <f>WEEKNUM(Söndag24, 2)</f>
        <v>24</v>
      </c>
      <c r="Y1" s="41" t="str">
        <f>"V. "&amp;X1&amp;", "&amp;TEXT(V1,"D MMM")&amp;"-"&amp;TEXT(W1,"D MMM")</f>
        <v>V. 24, 9 jun-15 jun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Måndag24</f>
        <v>45817</v>
      </c>
      <c r="C3" s="46">
        <v>0.75</v>
      </c>
      <c r="D3" s="47">
        <v>0.83333333333333337</v>
      </c>
      <c r="E3" s="48" t="s">
        <v>83</v>
      </c>
      <c r="F3" s="49" t="s">
        <v>949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>PROPER(TEXT(B5, "dddd"))</f>
        <v>Tisdag</v>
      </c>
      <c r="B5" s="93">
        <f t="shared" ref="B5" si="1">Tisdag24</f>
        <v>45818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 t="s">
        <v>94</v>
      </c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91" t="s">
        <v>0</v>
      </c>
      <c r="B7" s="93" t="s">
        <v>1</v>
      </c>
      <c r="C7" s="50" t="s">
        <v>838</v>
      </c>
      <c r="D7" s="51" t="s">
        <v>2</v>
      </c>
      <c r="E7" s="52" t="s">
        <v>3</v>
      </c>
      <c r="F7" s="53" t="s">
        <v>4</v>
      </c>
    </row>
    <row r="8" spans="1:25" ht="15" customHeight="1" x14ac:dyDescent="0.3">
      <c r="A8" s="91" t="str">
        <f>PROPER(TEXT(B8, "dddd"))</f>
        <v>Onsdag</v>
      </c>
      <c r="B8" s="93">
        <f t="shared" ref="B8" si="2">Onsdag24</f>
        <v>45819</v>
      </c>
      <c r="C8" s="46"/>
      <c r="D8" s="54"/>
      <c r="E8" s="55"/>
      <c r="F8" s="56"/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</row>
    <row r="10" spans="1:25" ht="15" customHeight="1" x14ac:dyDescent="0.3">
      <c r="A10" s="91" t="str">
        <f>PROPER(TEXT(B10, "dddd"))</f>
        <v>Torsdag</v>
      </c>
      <c r="B10" s="93">
        <f t="shared" ref="B10" si="3">Torsdag24</f>
        <v>45820</v>
      </c>
      <c r="C10" s="46">
        <v>0.375</v>
      </c>
      <c r="D10" s="54">
        <v>0.4375</v>
      </c>
      <c r="E10" s="55" t="s">
        <v>81</v>
      </c>
      <c r="F10" s="56" t="s">
        <v>521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s="10" customFormat="1" ht="20.100000000000001" hidden="1" customHeight="1" x14ac:dyDescent="0.3">
      <c r="A11" s="91" t="s">
        <v>0</v>
      </c>
      <c r="B11" s="93" t="s">
        <v>1</v>
      </c>
      <c r="C11" s="50" t="s">
        <v>838</v>
      </c>
      <c r="D11" s="51" t="s">
        <v>2</v>
      </c>
      <c r="E11" s="52" t="s">
        <v>3</v>
      </c>
      <c r="F11" s="53" t="s">
        <v>4</v>
      </c>
    </row>
    <row r="12" spans="1:25" ht="15" customHeight="1" x14ac:dyDescent="0.3">
      <c r="A12" s="91" t="str">
        <f>PROPER(TEXT(B12, "dddd"))</f>
        <v>Fredag</v>
      </c>
      <c r="B12" s="93">
        <f t="shared" ref="B12" si="4">Fredag24</f>
        <v>45821</v>
      </c>
      <c r="C12" s="46">
        <v>0.375</v>
      </c>
      <c r="D12" s="54">
        <v>0.4375</v>
      </c>
      <c r="E12" s="55" t="s">
        <v>57</v>
      </c>
      <c r="F12" s="56" t="s">
        <v>521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0.72916666666666663</v>
      </c>
      <c r="D13" s="54">
        <v>0.77083333333333337</v>
      </c>
      <c r="E13" s="55" t="s">
        <v>57</v>
      </c>
      <c r="F13" s="56" t="s">
        <v>499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 t="str">
        <f>PROPER(TEXT(B15, "dddd"))</f>
        <v>Lördag</v>
      </c>
      <c r="B15" s="93">
        <f t="shared" ref="B15" si="5">Lördag24</f>
        <v>45822</v>
      </c>
      <c r="C15" s="46"/>
      <c r="D15" s="54"/>
      <c r="E15" s="55"/>
      <c r="F15" s="56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hidden="1" customHeight="1" x14ac:dyDescent="0.3">
      <c r="A16" s="91" t="s">
        <v>0</v>
      </c>
      <c r="B16" s="93" t="s">
        <v>1</v>
      </c>
      <c r="C16" s="50" t="s">
        <v>838</v>
      </c>
      <c r="D16" s="51" t="s">
        <v>2</v>
      </c>
      <c r="E16" s="52" t="s">
        <v>3</v>
      </c>
      <c r="F16" s="53" t="s">
        <v>4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 t="str">
        <f>PROPER(TEXT(B17, "dddd"))</f>
        <v>Söndag</v>
      </c>
      <c r="B17" s="93">
        <f t="shared" ref="B17" si="6">Söndag24</f>
        <v>45823</v>
      </c>
      <c r="C17" s="46">
        <v>0.54166666666666663</v>
      </c>
      <c r="D17" s="54">
        <v>0.66666666666666663</v>
      </c>
      <c r="E17" s="55">
        <v>50</v>
      </c>
      <c r="F17" s="56" t="s">
        <v>690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9" spans="1:24" ht="15" customHeight="1" x14ac:dyDescent="0.3">
      <c r="C19" s="46"/>
      <c r="D19" s="47"/>
    </row>
    <row r="20" spans="1:24" ht="15" customHeight="1" x14ac:dyDescent="0.3">
      <c r="C20" s="46"/>
      <c r="D20" s="8"/>
    </row>
    <row r="21" spans="1:24" ht="15" customHeight="1" x14ac:dyDescent="0.3">
      <c r="C21" s="46"/>
      <c r="D21" s="8"/>
    </row>
  </sheetData>
  <sheetProtection algorithmName="SHA-512" hashValue="kshej36cCJyoWWp4x76o9wcuJtu9BqGzjBP8VWlGoDGlNth9RAwHK7jxtFg5wX2bSvmdMCyLjJE7as4DlavK3g==" saltValue="fvFXnPMNAVekHyw4gYHAfA==" spinCount="100000" sheet="1" objects="1" scenarios="1" autoFilter="0" pivotTables="0"/>
  <conditionalFormatting sqref="A3 A5:A6 A8 A10 A12 A15 A17">
    <cfRule type="cellIs" dxfId="2194" priority="1" operator="equal">
      <formula>"Datum"</formula>
    </cfRule>
    <cfRule type="cellIs" dxfId="2193" priority="2" operator="equal">
      <formula>"Dag"</formula>
    </cfRule>
    <cfRule type="expression" dxfId="2192" priority="4">
      <formula>OR(IF($A2="Dag",1))</formula>
    </cfRule>
  </conditionalFormatting>
  <conditionalFormatting sqref="A16">
    <cfRule type="expression" dxfId="2191" priority="22">
      <formula>OR(IF(#REF!="Dag",1))</formula>
    </cfRule>
  </conditionalFormatting>
  <conditionalFormatting sqref="A1:B2 A4:B4 A7:B7 A9:B9 A11:B11 A14:B14 A16:B16 A18:B1048576 B3 B5:B6 B8 B10 B15 B17 B12:B13">
    <cfRule type="cellIs" dxfId="2190" priority="14" operator="equal">
      <formula>"Datum"</formula>
    </cfRule>
    <cfRule type="cellIs" dxfId="2189" priority="15" operator="equal">
      <formula>"Dag"</formula>
    </cfRule>
  </conditionalFormatting>
  <conditionalFormatting sqref="B3 B15 B5:B6 B8 B10 B12 B17">
    <cfRule type="expression" dxfId="2188" priority="21">
      <formula>OR(IF($B2="Datum",1))</formula>
    </cfRule>
  </conditionalFormatting>
  <conditionalFormatting sqref="C3:E17">
    <cfRule type="expression" dxfId="2187" priority="18">
      <formula>OR(IF($E3="Hela hallen",1))</formula>
    </cfRule>
  </conditionalFormatting>
  <conditionalFormatting sqref="L1:T1048576">
    <cfRule type="cellIs" dxfId="2186" priority="13" operator="equal">
      <formula>"-"</formula>
    </cfRule>
  </conditionalFormatting>
  <conditionalFormatting sqref="A13">
    <cfRule type="cellIs" dxfId="2185" priority="1635" operator="equal">
      <formula>"Datum"</formula>
    </cfRule>
    <cfRule type="cellIs" dxfId="2184" priority="1636" operator="equal">
      <formula>"Dag"</formula>
    </cfRule>
    <cfRule type="expression" dxfId="2183" priority="1637">
      <formula>OR(IF(#REF!="Dag",1))</formula>
    </cfRule>
  </conditionalFormatting>
  <conditionalFormatting sqref="B13">
    <cfRule type="expression" dxfId="2182" priority="1643">
      <formula>OR(IF(#REF!="Datum",1))</formula>
    </cfRule>
  </conditionalFormatting>
  <conditionalFormatting sqref="A14">
    <cfRule type="expression" dxfId="2181" priority="1674">
      <formula>OR(IF($A13="Dag",1))</formula>
    </cfRule>
  </conditionalFormatting>
  <conditionalFormatting sqref="B14">
    <cfRule type="expression" dxfId="2180" priority="1677">
      <formula>OR(IF($B13="Datum",1))</formula>
    </cfRule>
  </conditionalFormatting>
  <conditionalFormatting sqref="C3:F17">
    <cfRule type="expression" dxfId="2179" priority="2185">
      <formula>OR(IF(#REF!=TRUE,1))</formula>
    </cfRule>
  </conditionalFormatting>
  <conditionalFormatting sqref="A4 A7 A9 A11">
    <cfRule type="expression" dxfId="2178" priority="2186">
      <formula>OR(IF(#REF!="Dag",1))</formula>
    </cfRule>
  </conditionalFormatting>
  <conditionalFormatting sqref="B4 B7 B9 B11 B16">
    <cfRule type="expression" dxfId="2177" priority="2187">
      <formula>OR(IF(#REF!="Datum",1))</formula>
    </cfRule>
  </conditionalFormatting>
  <printOptions horizontalCentered="1" verticalCentered="1"/>
  <pageMargins left="0.25" right="0.25" top="0.75" bottom="0.75" header="0.3" footer="0.3"/>
  <pageSetup paperSize="9" scale="26" orientation="landscape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F75EDA9-2DBE-4A78-B460-2913C9E102EC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A5:B6 A8:B8 A10:B10 A12:B12 A17:B17 A14:B15</xm:sqref>
        </x14:conditionalFormatting>
        <x14:conditionalFormatting xmlns:xm="http://schemas.microsoft.com/office/excel/2006/main">
          <x14:cfRule type="expression" priority="1652" id="{0F75EDA9-2DBE-4A78-B460-2913C9E102EC}">
            <xm:f>AND(IF(ISERROR(MATCH($B13,Kalenderår!$A$3:$A$17,0)),FALSE,TRUE), IF(#REF!="Datum",TRUE,FALSE), IF(#REF!="Dag",TRUE,FALSE))</xm:f>
            <x14:dxf>
              <font>
                <color rgb="FFC00000"/>
              </font>
            </x14:dxf>
          </x14:cfRule>
          <xm:sqref>A13:B13</xm:sqref>
        </x14:conditionalFormatting>
        <x14:conditionalFormatting xmlns:xm="http://schemas.microsoft.com/office/excel/2006/main">
          <x14:cfRule type="expression" priority="2194" id="{04A9FFA7-180E-42D3-8F18-02F6B01F22A9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A7:B7 A9:B9 A11:B11 A16:B16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65BE03A-C577-4FEC-AF70-5DF5B94498AD}">
          <x14:formula1>
            <xm:f>Kontaktuppgifter!$A$2:$A$300</xm:f>
          </x14:formula1>
          <xm:sqref>F3 F5:F6 F8 F10 F15 F17 F12:F13</xm:sqref>
        </x14:dataValidation>
        <x14:dataValidation type="list" allowBlank="1" showInputMessage="1" showErrorMessage="1" xr:uid="{5F052BB8-F826-49BB-A3FF-B05AC9DB5932}">
          <x14:formula1>
            <xm:f>Listor!$A$2:$A$150</xm:f>
          </x14:formula1>
          <xm:sqref>E3 E5:E6 E8 E10 E15 E17 E12:E13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B9FF2-E257-4090-91F9-0881C90B2216}">
  <sheetPr codeName="Blad26">
    <pageSetUpPr fitToPage="1"/>
  </sheetPr>
  <dimension ref="A1:Y19"/>
  <sheetViews>
    <sheetView showGridLines="0" zoomScaleNormal="100" workbookViewId="0">
      <pane ySplit="2" topLeftCell="A3" activePane="bottomLeft" state="frozen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Måndag25</f>
        <v>45824</v>
      </c>
      <c r="W1" s="39">
        <f>Söndag25</f>
        <v>45830</v>
      </c>
      <c r="X1" s="40">
        <f>WEEKNUM(Söndag25, 2)</f>
        <v>25</v>
      </c>
      <c r="Y1" s="41" t="str">
        <f>"V. "&amp;X1&amp;", "&amp;TEXT(V1,"D MMM")&amp;"-"&amp;TEXT(W1,"D MMM")</f>
        <v>V. 25, 16 jun-22 jun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Måndag25</f>
        <v>45824</v>
      </c>
      <c r="C3" s="46">
        <v>0.54166666666666663</v>
      </c>
      <c r="D3" s="47">
        <v>0.58333333333333337</v>
      </c>
      <c r="E3" s="48" t="s">
        <v>95</v>
      </c>
      <c r="F3" s="49" t="s">
        <v>960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>PROPER(TEXT(B5, "dddd"))</f>
        <v>Tisdag</v>
      </c>
      <c r="B5" s="93">
        <f t="shared" ref="B5" si="1">Tisdag25</f>
        <v>45825</v>
      </c>
      <c r="C5" s="46"/>
      <c r="D5" s="54"/>
      <c r="E5" s="55"/>
      <c r="F5" s="56"/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</row>
    <row r="7" spans="1:25" ht="15" customHeight="1" x14ac:dyDescent="0.3">
      <c r="A7" s="91" t="str">
        <f>PROPER(TEXT(B7, "dddd"))</f>
        <v>Onsdag</v>
      </c>
      <c r="B7" s="93">
        <f t="shared" ref="B7" si="2">Onsdag25</f>
        <v>45826</v>
      </c>
      <c r="C7" s="46"/>
      <c r="D7" s="54"/>
      <c r="E7" s="55"/>
      <c r="F7" s="56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</row>
    <row r="9" spans="1:25" ht="15" customHeight="1" x14ac:dyDescent="0.3">
      <c r="A9" s="91" t="str">
        <f>PROPER(TEXT(B9, "dddd"))</f>
        <v>Torsdag</v>
      </c>
      <c r="B9" s="93">
        <f t="shared" ref="B9" si="3">Torsdag25</f>
        <v>45827</v>
      </c>
      <c r="C9" s="46"/>
      <c r="D9" s="54"/>
      <c r="E9" s="55"/>
      <c r="F9" s="56"/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91" t="s">
        <v>0</v>
      </c>
      <c r="B10" s="93" t="s">
        <v>1</v>
      </c>
      <c r="C10" s="50" t="s">
        <v>838</v>
      </c>
      <c r="D10" s="51" t="s">
        <v>2</v>
      </c>
      <c r="E10" s="52" t="s">
        <v>3</v>
      </c>
      <c r="F10" s="53" t="s">
        <v>4</v>
      </c>
    </row>
    <row r="11" spans="1:25" ht="15" customHeight="1" x14ac:dyDescent="0.3">
      <c r="A11" s="91" t="str">
        <f>PROPER(TEXT(B11, "dddd"))</f>
        <v>Fredag</v>
      </c>
      <c r="B11" s="93">
        <f t="shared" ref="B11" si="4">Fredag25</f>
        <v>45828</v>
      </c>
      <c r="C11" s="46"/>
      <c r="D11" s="54"/>
      <c r="E11" s="55"/>
      <c r="F11" s="56"/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>PROPER(TEXT(B13, "dddd"))</f>
        <v>Lördag</v>
      </c>
      <c r="B13" s="93">
        <f t="shared" ref="B13" si="5">Lördag25</f>
        <v>45829</v>
      </c>
      <c r="C13" s="46"/>
      <c r="D13" s="54"/>
      <c r="E13" s="55"/>
      <c r="F13" s="56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</row>
    <row r="15" spans="1:25" ht="15" customHeight="1" x14ac:dyDescent="0.3">
      <c r="A15" s="91" t="str">
        <f>PROPER(TEXT(B15, "dddd"))</f>
        <v>Söndag</v>
      </c>
      <c r="B15" s="93">
        <f t="shared" ref="B15" si="6">Söndag25</f>
        <v>45830</v>
      </c>
      <c r="C15" s="46"/>
      <c r="D15" s="54"/>
      <c r="E15" s="55"/>
      <c r="F15" s="56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6"/>
      <c r="D17" s="47"/>
    </row>
    <row r="18" spans="3:4" ht="15" customHeight="1" x14ac:dyDescent="0.3">
      <c r="C18" s="46"/>
      <c r="D18" s="8"/>
    </row>
    <row r="19" spans="3:4" ht="15" customHeight="1" x14ac:dyDescent="0.3">
      <c r="C19" s="46"/>
      <c r="D19" s="8"/>
    </row>
  </sheetData>
  <sheetProtection algorithmName="SHA-512" hashValue="2YiKKeLixHcTwF+oLV9ewteDZrjIZJMnwfnpggl0sVWE7Gc71z7IPDAS8WeIlSAtJEQNhFXt0Wj4BgeTwUsg8w==" saltValue="pVscM511mN5gZDstRYpg7A==" spinCount="100000" sheet="1" objects="1" scenarios="1" autoFilter="0" pivotTables="0"/>
  <conditionalFormatting sqref="A3 A5 A7 A9 A11 A13 A15">
    <cfRule type="cellIs" dxfId="2117" priority="1" operator="equal">
      <formula>"Datum"</formula>
    </cfRule>
    <cfRule type="cellIs" dxfId="2116" priority="2" operator="equal">
      <formula>"Dag"</formula>
    </cfRule>
    <cfRule type="expression" dxfId="2115" priority="4">
      <formula>OR(IF($A2="Dag",1))</formula>
    </cfRule>
  </conditionalFormatting>
  <conditionalFormatting sqref="A14">
    <cfRule type="expression" dxfId="2114" priority="22">
      <formula>OR(IF(#REF!="Dag",1))</formula>
    </cfRule>
  </conditionalFormatting>
  <conditionalFormatting sqref="A1:B2 A4:B4 A6:B6 A8:B8 A10:B10 A12:B12 A14:B14 A16:B1048576 B3 B5 B7 B9 B11 B13 B15">
    <cfRule type="cellIs" dxfId="2113" priority="14" operator="equal">
      <formula>"Datum"</formula>
    </cfRule>
    <cfRule type="cellIs" dxfId="2112" priority="15" operator="equal">
      <formula>"Dag"</formula>
    </cfRule>
  </conditionalFormatting>
  <conditionalFormatting sqref="B3 B5 B7 B9 B11 B13 B15">
    <cfRule type="expression" dxfId="2111" priority="21">
      <formula>OR(IF($B2="Datum",1))</formula>
    </cfRule>
  </conditionalFormatting>
  <conditionalFormatting sqref="C3:E15">
    <cfRule type="expression" dxfId="2110" priority="18">
      <formula>OR(IF($E3="Hela hallen",1))</formula>
    </cfRule>
  </conditionalFormatting>
  <conditionalFormatting sqref="L1:T1048576">
    <cfRule type="cellIs" dxfId="2109" priority="13" operator="equal">
      <formula>"-"</formula>
    </cfRule>
  </conditionalFormatting>
  <conditionalFormatting sqref="C3:F15">
    <cfRule type="expression" dxfId="2108" priority="2196">
      <formula>OR(IF(#REF!=TRUE,1))</formula>
    </cfRule>
  </conditionalFormatting>
  <conditionalFormatting sqref="A4 A6 A8 A10 A12">
    <cfRule type="expression" dxfId="2107" priority="2197">
      <formula>OR(IF(#REF!="Dag",1))</formula>
    </cfRule>
  </conditionalFormatting>
  <conditionalFormatting sqref="B4 B6 B8 B10 B12 B14">
    <cfRule type="expression" dxfId="2106" priority="2198">
      <formula>OR(IF(#REF!="Datum",1))</formula>
    </cfRule>
  </conditionalFormatting>
  <printOptions horizontalCentered="1" verticalCentered="1"/>
  <pageMargins left="0.25" right="0.25" top="0.75" bottom="0.75" header="0.3" footer="0.3"/>
  <pageSetup paperSize="8" scale="26" orientation="portrait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A6CE703-AF0D-4D63-A69A-FBA3AED09A3D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A7:B7 A9:B9 A11:B11 A13:B13 A15:B15 A5:B5</xm:sqref>
        </x14:conditionalFormatting>
        <x14:conditionalFormatting xmlns:xm="http://schemas.microsoft.com/office/excel/2006/main">
          <x14:cfRule type="expression" priority="2205" id="{9F4A3E6F-1CF2-4A4A-9AFC-F51D17317AA0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F82AA6-BD9F-4D40-9B63-5FD8FAE3931A}">
          <x14:formula1>
            <xm:f>Listor!$A$2:$A$150</xm:f>
          </x14:formula1>
          <xm:sqref>E3 E5 E7 E9 E11 E13 E15</xm:sqref>
        </x14:dataValidation>
        <x14:dataValidation type="list" allowBlank="1" showInputMessage="1" showErrorMessage="1" xr:uid="{24DB284D-FA6B-4379-B064-F8337F9FA5E6}">
          <x14:formula1>
            <xm:f>Kontaktuppgifter!$A$2:$A$300</xm:f>
          </x14:formula1>
          <xm:sqref>F3 F5 F7 F9 F11 F13 F15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17B4-1770-4E0C-A1E7-ABF2C4D80706}">
  <sheetPr codeName="Blad59">
    <pageSetUpPr fitToPage="1"/>
  </sheetPr>
  <dimension ref="A1:Y19"/>
  <sheetViews>
    <sheetView showGridLines="0" zoomScaleNormal="100" workbookViewId="0">
      <pane ySplit="2" topLeftCell="A3" activePane="bottomLeft" state="frozen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Måndag26</f>
        <v>45831</v>
      </c>
      <c r="W1" s="39">
        <f>Söndag26</f>
        <v>45837</v>
      </c>
      <c r="X1" s="40">
        <f>WEEKNUM(Söndag26, 2)</f>
        <v>26</v>
      </c>
      <c r="Y1" s="41" t="str">
        <f>"V. "&amp;X1&amp;", "&amp;TEXT(V1,"D MMM")&amp;"-"&amp;TEXT(W1,"D MMM")</f>
        <v>V. 26, 23 jun-29 jun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>Måndag26</f>
        <v>45831</v>
      </c>
      <c r="C3" s="46">
        <v>0.375</v>
      </c>
      <c r="D3" s="47">
        <v>0.45833333333333331</v>
      </c>
      <c r="E3" s="48" t="s">
        <v>96</v>
      </c>
      <c r="F3" s="49" t="s">
        <v>954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>PROPER(TEXT(B5, "dddd"))</f>
        <v>Tisdag</v>
      </c>
      <c r="B5" s="93">
        <f>Tisdag26</f>
        <v>45832</v>
      </c>
      <c r="C5" s="46"/>
      <c r="D5" s="54"/>
      <c r="E5" s="55"/>
      <c r="F5" s="56"/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</row>
    <row r="7" spans="1:25" ht="15" customHeight="1" x14ac:dyDescent="0.3">
      <c r="A7" s="91" t="str">
        <f t="shared" ref="A7" si="0">PROPER(TEXT(B7, "dddd"))</f>
        <v>Onsdag</v>
      </c>
      <c r="B7" s="93">
        <f>Onsdag26</f>
        <v>45833</v>
      </c>
      <c r="C7" s="46"/>
      <c r="D7" s="54"/>
      <c r="E7" s="55"/>
      <c r="F7" s="56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</row>
    <row r="9" spans="1:25" ht="15" customHeight="1" x14ac:dyDescent="0.3">
      <c r="A9" s="91" t="str">
        <f>PROPER(TEXT(B9, "dddd"))</f>
        <v>Torsdag</v>
      </c>
      <c r="B9" s="93">
        <f>Torsdag26</f>
        <v>45834</v>
      </c>
      <c r="C9" s="46">
        <v>0.70833333333333337</v>
      </c>
      <c r="D9" s="54">
        <v>0.79166666666666663</v>
      </c>
      <c r="E9" s="55"/>
      <c r="F9" s="56" t="s">
        <v>965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91" t="s">
        <v>0</v>
      </c>
      <c r="B10" s="93" t="s">
        <v>1</v>
      </c>
      <c r="C10" s="50" t="s">
        <v>838</v>
      </c>
      <c r="D10" s="51" t="s">
        <v>2</v>
      </c>
      <c r="E10" s="52" t="s">
        <v>3</v>
      </c>
      <c r="F10" s="53" t="s">
        <v>4</v>
      </c>
    </row>
    <row r="11" spans="1:25" ht="15" customHeight="1" x14ac:dyDescent="0.3">
      <c r="A11" s="91" t="str">
        <f>PROPER(TEXT(B11, "dddd"))</f>
        <v>Fredag</v>
      </c>
      <c r="B11" s="93">
        <f>Fredag26</f>
        <v>45835</v>
      </c>
      <c r="C11" s="46">
        <v>0.72916666666666663</v>
      </c>
      <c r="D11" s="54">
        <v>0.77083333333333337</v>
      </c>
      <c r="E11" s="55" t="s">
        <v>57</v>
      </c>
      <c r="F11" s="56" t="s">
        <v>499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>PROPER(TEXT(B13, "dddd"))</f>
        <v>Lördag</v>
      </c>
      <c r="B13" s="93">
        <f>Lördag26</f>
        <v>45836</v>
      </c>
      <c r="C13" s="46"/>
      <c r="D13" s="54"/>
      <c r="E13" s="55"/>
      <c r="F13" s="56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</row>
    <row r="15" spans="1:25" ht="15" customHeight="1" x14ac:dyDescent="0.3">
      <c r="A15" s="91" t="str">
        <f>PROPER(TEXT(B15, "dddd"))</f>
        <v>Söndag</v>
      </c>
      <c r="B15" s="93">
        <f>Söndag26</f>
        <v>45837</v>
      </c>
      <c r="C15" s="46"/>
      <c r="D15" s="54"/>
      <c r="E15" s="55"/>
      <c r="F15" s="56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6"/>
      <c r="D17" s="47"/>
    </row>
    <row r="18" spans="3:4" ht="15" customHeight="1" x14ac:dyDescent="0.3">
      <c r="C18" s="46"/>
      <c r="D18" s="8"/>
    </row>
    <row r="19" spans="3:4" ht="15" customHeight="1" x14ac:dyDescent="0.3">
      <c r="C19" s="46"/>
      <c r="D19" s="8"/>
    </row>
  </sheetData>
  <sheetProtection algorithmName="SHA-512" hashValue="FPyxxk+STIfyKU9BcaSBVAFzX/MAsbCicCd+oI3vjRZeCo5Ho7CDZJTOTnRl91Aks3DkCcARX73BC+2QlOWgXg==" saltValue="dS7/c5Ajbb5RLpEYUddh6w==" spinCount="100000" sheet="1" objects="1" scenarios="1" autoFilter="0" pivotTables="0"/>
  <conditionalFormatting sqref="A3 A5 A9 A11 A13 A15">
    <cfRule type="cellIs" dxfId="2047" priority="1" operator="equal">
      <formula>"Datum"</formula>
    </cfRule>
    <cfRule type="cellIs" dxfId="2046" priority="2" operator="equal">
      <formula>"Dag"</formula>
    </cfRule>
    <cfRule type="expression" dxfId="2045" priority="4">
      <formula>OR(IF($A2="Dag",1))</formula>
    </cfRule>
  </conditionalFormatting>
  <conditionalFormatting sqref="A8">
    <cfRule type="expression" dxfId="2044" priority="12">
      <formula>OR(IF($A7="Dag",1))</formula>
    </cfRule>
  </conditionalFormatting>
  <conditionalFormatting sqref="A1:B2 A4:B4 A6:B6 A8:B8 A10:B10 A12:B12 A14:B14 A16:B1048576 B3 B5 B9 B11 B13 B15 B7">
    <cfRule type="cellIs" dxfId="2043" priority="6" operator="equal">
      <formula>"Datum"</formula>
    </cfRule>
    <cfRule type="cellIs" dxfId="2042" priority="7" operator="equal">
      <formula>"Dag"</formula>
    </cfRule>
  </conditionalFormatting>
  <conditionalFormatting sqref="B3 B8:B9 B5 B11 B13 B15">
    <cfRule type="expression" dxfId="2041" priority="11">
      <formula>OR(IF($B2="Datum",1))</formula>
    </cfRule>
  </conditionalFormatting>
  <conditionalFormatting sqref="C3:E15">
    <cfRule type="expression" dxfId="2040" priority="9">
      <formula>OR(IF($E3="Hela hallen",1))</formula>
    </cfRule>
  </conditionalFormatting>
  <conditionalFormatting sqref="L1:T1048576">
    <cfRule type="cellIs" dxfId="2039" priority="5" operator="equal">
      <formula>"-"</formula>
    </cfRule>
  </conditionalFormatting>
  <conditionalFormatting sqref="A7">
    <cfRule type="cellIs" dxfId="2038" priority="13" operator="equal">
      <formula>"Datum"</formula>
    </cfRule>
    <cfRule type="cellIs" dxfId="2037" priority="14" operator="equal">
      <formula>"Dag"</formula>
    </cfRule>
    <cfRule type="expression" dxfId="2036" priority="15">
      <formula>OR(IF(#REF!="Dag",1))</formula>
    </cfRule>
  </conditionalFormatting>
  <conditionalFormatting sqref="B7">
    <cfRule type="expression" dxfId="2035" priority="16">
      <formula>OR(IF(#REF!="Datum",1))</formula>
    </cfRule>
  </conditionalFormatting>
  <conditionalFormatting sqref="C3:F15">
    <cfRule type="expression" dxfId="2034" priority="2207">
      <formula>OR(IF(#REF!=TRUE,1))</formula>
    </cfRule>
  </conditionalFormatting>
  <conditionalFormatting sqref="A4 A6 A10 A12 A14">
    <cfRule type="expression" dxfId="2033" priority="2208">
      <formula>OR(IF(#REF!="Dag",1))</formula>
    </cfRule>
  </conditionalFormatting>
  <conditionalFormatting sqref="B4 B6 B10 B12 B14">
    <cfRule type="expression" dxfId="2032" priority="2209">
      <formula>OR(IF(#REF!="Datum",1))</formula>
    </cfRule>
  </conditionalFormatting>
  <printOptions horizontalCentered="1" verticalCentered="1"/>
  <pageMargins left="0.25" right="0.25" top="0.75" bottom="0.75" header="0.3" footer="0.3"/>
  <pageSetup paperSize="8" scale="26" orientation="portrait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4EF6152-1F19-437E-819C-C2C5BBE2B7C4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A9:B9 A11:B11 A13:B13 A15:B15</xm:sqref>
        </x14:conditionalFormatting>
        <x14:conditionalFormatting xmlns:xm="http://schemas.microsoft.com/office/excel/2006/main">
          <x14:cfRule type="expression" priority="8" id="{1824930D-EA47-4882-B93C-6782A749C5D3}">
            <xm:f>AND(IF(ISERROR(MATCH($B8,Kalenderår!$A$3:$A$17,0)),FALSE,TRUE), IF($B7="Datum",TRUE,FALSE), IF($A7="Dag",TRUE,FALSE))</xm:f>
            <x14:dxf>
              <font>
                <color rgb="FFC00000"/>
              </font>
            </x14:dxf>
          </x14:cfRule>
          <xm:sqref>A8:B8</xm:sqref>
        </x14:conditionalFormatting>
        <x14:conditionalFormatting xmlns:xm="http://schemas.microsoft.com/office/excel/2006/main">
          <x14:cfRule type="expression" priority="17" id="{3D532990-E5D1-4EB3-AC4E-79EB260AC966}">
            <xm:f>AND(IF(ISERROR(MATCH($B7,Kalenderår!$A$3:$A$17,0)),FALSE,TRUE), IF(#REF!="Datum",TRUE,FALSE), IF(#REF!="Dag",TRUE,FALSE))</xm:f>
            <x14:dxf>
              <font>
                <color rgb="FFC00000"/>
              </font>
            </x14:dxf>
          </x14:cfRule>
          <xm:sqref>A7:B7</xm:sqref>
        </x14:conditionalFormatting>
        <x14:conditionalFormatting xmlns:xm="http://schemas.microsoft.com/office/excel/2006/main">
          <x14:cfRule type="expression" priority="2216" id="{1824930D-EA47-4882-B93C-6782A749C5D3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9D75A5F-F8F4-4D60-823D-EB6ADE3E9C0D}">
          <x14:formula1>
            <xm:f>Kontaktuppgifter!$A$2:$A$300</xm:f>
          </x14:formula1>
          <xm:sqref>F3 F5 F9 F11 F13 F15 F7</xm:sqref>
        </x14:dataValidation>
        <x14:dataValidation type="list" allowBlank="1" showInputMessage="1" showErrorMessage="1" xr:uid="{80300972-F8E0-4A95-A2D2-C474F2CCF8F5}">
          <x14:formula1>
            <xm:f>Listor!$A$2:$A$150</xm:f>
          </x14:formula1>
          <xm:sqref>E3 E5 E9 E11 E13 E15 E7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0BC35-FA50-49EB-8E56-C2FE39FD51D6}">
  <sheetPr codeName="Blad28">
    <pageSetUpPr fitToPage="1"/>
  </sheetPr>
  <dimension ref="A1:Y19"/>
  <sheetViews>
    <sheetView showGridLines="0" zoomScaleNormal="100" workbookViewId="0">
      <pane ySplit="2" topLeftCell="A3" activePane="bottomLeft" state="frozen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Måndag27</f>
        <v>45838</v>
      </c>
      <c r="W1" s="39">
        <f>Söndag27</f>
        <v>45844</v>
      </c>
      <c r="X1" s="40">
        <f>WEEKNUM(Söndag27, 2)</f>
        <v>27</v>
      </c>
      <c r="Y1" s="41" t="str">
        <f>"V. "&amp;X1&amp;", "&amp;TEXT(V1,"D MMM")&amp;"-"&amp;TEXT(W1,"D MMM")</f>
        <v>V. 27, 30 jun-6 jul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Måndag27</f>
        <v>45838</v>
      </c>
      <c r="C3" s="46"/>
      <c r="D3" s="47"/>
      <c r="E3" s="48"/>
      <c r="F3" s="49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>PROPER(TEXT(B5, "dddd"))</f>
        <v>Tisdag</v>
      </c>
      <c r="B5" s="93">
        <f t="shared" ref="B5" si="1">Tisdag27</f>
        <v>45839</v>
      </c>
      <c r="C5" s="46"/>
      <c r="D5" s="54"/>
      <c r="E5" s="55"/>
      <c r="F5" s="56"/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</row>
    <row r="7" spans="1:25" ht="15" customHeight="1" x14ac:dyDescent="0.3">
      <c r="A7" s="91" t="str">
        <f>PROPER(TEXT(B7, "dddd"))</f>
        <v>Onsdag</v>
      </c>
      <c r="B7" s="93">
        <f t="shared" ref="B7" si="2">Onsdag27</f>
        <v>45840</v>
      </c>
      <c r="C7" s="46"/>
      <c r="D7" s="54"/>
      <c r="E7" s="55"/>
      <c r="F7" s="56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</row>
    <row r="9" spans="1:25" ht="15" customHeight="1" x14ac:dyDescent="0.3">
      <c r="A9" s="91" t="str">
        <f>PROPER(TEXT(B9, "dddd"))</f>
        <v>Torsdag</v>
      </c>
      <c r="B9" s="93">
        <f t="shared" ref="B9" si="3">Torsdag27</f>
        <v>45841</v>
      </c>
      <c r="C9" s="46"/>
      <c r="D9" s="54"/>
      <c r="E9" s="55"/>
      <c r="F9" s="56"/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91" t="s">
        <v>0</v>
      </c>
      <c r="B10" s="93" t="s">
        <v>1</v>
      </c>
      <c r="C10" s="50" t="s">
        <v>838</v>
      </c>
      <c r="D10" s="51" t="s">
        <v>2</v>
      </c>
      <c r="E10" s="52" t="s">
        <v>3</v>
      </c>
      <c r="F10" s="53" t="s">
        <v>4</v>
      </c>
    </row>
    <row r="11" spans="1:25" ht="15" customHeight="1" x14ac:dyDescent="0.3">
      <c r="A11" s="91" t="str">
        <f>PROPER(TEXT(B11, "dddd"))</f>
        <v>Fredag</v>
      </c>
      <c r="B11" s="93">
        <f t="shared" ref="B11" si="4">Fredag27</f>
        <v>45842</v>
      </c>
      <c r="C11" s="46"/>
      <c r="D11" s="54"/>
      <c r="E11" s="55"/>
      <c r="F11" s="56"/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>PROPER(TEXT(B13, "dddd"))</f>
        <v>Lördag</v>
      </c>
      <c r="B13" s="93">
        <f t="shared" ref="B13" si="5">Lördag27</f>
        <v>45843</v>
      </c>
      <c r="C13" s="46"/>
      <c r="D13" s="54"/>
      <c r="E13" s="55"/>
      <c r="F13" s="56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</row>
    <row r="15" spans="1:25" ht="15" customHeight="1" x14ac:dyDescent="0.3">
      <c r="A15" s="91" t="str">
        <f>PROPER(TEXT(B15, "dddd"))</f>
        <v>Söndag</v>
      </c>
      <c r="B15" s="93">
        <f t="shared" ref="B15" si="6">Söndag27</f>
        <v>45844</v>
      </c>
      <c r="C15" s="46"/>
      <c r="D15" s="54"/>
      <c r="E15" s="55"/>
      <c r="F15" s="56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6"/>
      <c r="D17" s="47"/>
    </row>
    <row r="18" spans="3:4" ht="15" customHeight="1" x14ac:dyDescent="0.3">
      <c r="C18" s="46"/>
      <c r="D18" s="8"/>
    </row>
    <row r="19" spans="3:4" ht="15" customHeight="1" x14ac:dyDescent="0.3">
      <c r="C19" s="46"/>
      <c r="D19" s="8"/>
    </row>
  </sheetData>
  <sheetProtection algorithmName="SHA-512" hashValue="K7jttAxKR3D7D7N/HCk1EkD5aIZ449a8AL9kdAwdrsZx7tIQKNl9ob2U3gEwg0OiHfkaeYnH0bWIF3OBE/6lQQ==" saltValue="YVAntWor+WUL/RMreao3aQ==" spinCount="100000" sheet="1" objects="1" scenarios="1" autoFilter="0" pivotTables="0"/>
  <conditionalFormatting sqref="A3 A5 A7 A9 A11 A13 A15">
    <cfRule type="cellIs" dxfId="1971" priority="1" operator="equal">
      <formula>"Datum"</formula>
    </cfRule>
    <cfRule type="cellIs" dxfId="1970" priority="2" operator="equal">
      <formula>"Dag"</formula>
    </cfRule>
    <cfRule type="expression" dxfId="1969" priority="4">
      <formula>OR(IF($A2="Dag",1))</formula>
    </cfRule>
  </conditionalFormatting>
  <conditionalFormatting sqref="A14">
    <cfRule type="expression" dxfId="1968" priority="22">
      <formula>OR(IF(#REF!="Dag",1))</formula>
    </cfRule>
  </conditionalFormatting>
  <conditionalFormatting sqref="A1:B2 A4:B4 A6:B6 A8:B8 A10:B10 A12:B12 A14:B14 A16:B1048576 B3 B5 B7 B9 B11 B13 B15">
    <cfRule type="cellIs" dxfId="1967" priority="14" operator="equal">
      <formula>"Datum"</formula>
    </cfRule>
    <cfRule type="cellIs" dxfId="1966" priority="15" operator="equal">
      <formula>"Dag"</formula>
    </cfRule>
  </conditionalFormatting>
  <conditionalFormatting sqref="B3 B5 B7 B9 B11 B13 B15">
    <cfRule type="expression" dxfId="1965" priority="21">
      <formula>OR(IF($B2="Datum",1))</formula>
    </cfRule>
  </conditionalFormatting>
  <conditionalFormatting sqref="C3:E15">
    <cfRule type="expression" dxfId="1964" priority="18">
      <formula>OR(IF($E3="Hela hallen",1))</formula>
    </cfRule>
  </conditionalFormatting>
  <conditionalFormatting sqref="L1:T1048576">
    <cfRule type="cellIs" dxfId="1963" priority="13" operator="equal">
      <formula>"-"</formula>
    </cfRule>
  </conditionalFormatting>
  <conditionalFormatting sqref="C3:F15">
    <cfRule type="expression" dxfId="1962" priority="2218">
      <formula>OR(IF(#REF!=TRUE,1))</formula>
    </cfRule>
  </conditionalFormatting>
  <conditionalFormatting sqref="A4 A6 A8 A10 A12">
    <cfRule type="expression" dxfId="1961" priority="2219">
      <formula>OR(IF(#REF!="Dag",1))</formula>
    </cfRule>
  </conditionalFormatting>
  <conditionalFormatting sqref="B4 B6 B8 B10 B12 B14">
    <cfRule type="expression" dxfId="1960" priority="2220">
      <formula>OR(IF(#REF!="Datum",1))</formula>
    </cfRule>
  </conditionalFormatting>
  <printOptions horizontalCentered="1" verticalCentered="1"/>
  <pageMargins left="0.25" right="0.25" top="0.75" bottom="0.75" header="0.3" footer="0.3"/>
  <pageSetup paperSize="8" scale="26" orientation="portrait" cellComments="atEnd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F8C7AB1-2840-4417-B6D8-1B086949F529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A7:B7 A9:B9 A11:B11 A13:B13 A15:B15</xm:sqref>
        </x14:conditionalFormatting>
        <x14:conditionalFormatting xmlns:xm="http://schemas.microsoft.com/office/excel/2006/main">
          <x14:cfRule type="expression" priority="2227" id="{446785F6-7CFE-440B-96A2-300FB4A15A49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8DBD46-3CBB-42B3-9A53-DF5DD9B830E1}">
          <x14:formula1>
            <xm:f>Listor!$A$2:$A$150</xm:f>
          </x14:formula1>
          <xm:sqref>E3 E5 E7 E9 E11 E13 E15</xm:sqref>
        </x14:dataValidation>
        <x14:dataValidation type="list" allowBlank="1" showInputMessage="1" showErrorMessage="1" xr:uid="{A4251030-4CFF-4CBD-A53F-001E0934AC82}">
          <x14:formula1>
            <xm:f>Kontaktuppgifter!$A$2:$A$300</xm:f>
          </x14:formula1>
          <xm:sqref>F3 F5 F7 F9 F11 F13 F15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FBA2D-E499-4EB5-9A1C-5355D2BF6DCC}">
  <sheetPr codeName="Blad29"/>
  <dimension ref="A1:Y19"/>
  <sheetViews>
    <sheetView showGridLines="0" zoomScaleNormal="100" workbookViewId="0">
      <pane ySplit="2" topLeftCell="A3" activePane="bottomLeft" state="frozen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Måndag28</f>
        <v>45845</v>
      </c>
      <c r="W1" s="39">
        <f>Söndag28</f>
        <v>45851</v>
      </c>
      <c r="X1" s="40">
        <f>WEEKNUM(Söndag28, 2)</f>
        <v>28</v>
      </c>
      <c r="Y1" s="41" t="str">
        <f>"V. "&amp;X1&amp;", "&amp;TEXT(V1,"D MMM")&amp;"-"&amp;TEXT(W1,"D MMM")</f>
        <v>V. 28, 7 jul-13 jul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Måndag28</f>
        <v>45845</v>
      </c>
      <c r="C3" s="46"/>
      <c r="D3" s="47"/>
      <c r="E3" s="48"/>
      <c r="F3" s="49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>PROPER(TEXT(B5, "dddd"))</f>
        <v>Tisdag</v>
      </c>
      <c r="B5" s="93">
        <f t="shared" ref="B5" si="1">Tisdag28</f>
        <v>45846</v>
      </c>
      <c r="C5" s="46"/>
      <c r="D5" s="54"/>
      <c r="E5" s="55"/>
      <c r="F5" s="56"/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</row>
    <row r="7" spans="1:25" ht="15" customHeight="1" x14ac:dyDescent="0.3">
      <c r="A7" s="91" t="str">
        <f>PROPER(TEXT(B7, "dddd"))</f>
        <v>Onsdag</v>
      </c>
      <c r="B7" s="93">
        <f t="shared" ref="B7" si="2">Onsdag28</f>
        <v>45847</v>
      </c>
      <c r="C7" s="46"/>
      <c r="D7" s="54"/>
      <c r="E7" s="55"/>
      <c r="F7" s="56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</row>
    <row r="9" spans="1:25" ht="15" customHeight="1" x14ac:dyDescent="0.3">
      <c r="A9" s="91" t="str">
        <f>PROPER(TEXT(B9, "dddd"))</f>
        <v>Torsdag</v>
      </c>
      <c r="B9" s="93">
        <f t="shared" ref="B9" si="3">Torsdag28</f>
        <v>45848</v>
      </c>
      <c r="C9" s="46"/>
      <c r="D9" s="54"/>
      <c r="E9" s="55"/>
      <c r="F9" s="56"/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91" t="s">
        <v>0</v>
      </c>
      <c r="B10" s="93" t="s">
        <v>1</v>
      </c>
      <c r="C10" s="50" t="s">
        <v>838</v>
      </c>
      <c r="D10" s="51" t="s">
        <v>2</v>
      </c>
      <c r="E10" s="52" t="s">
        <v>3</v>
      </c>
      <c r="F10" s="53" t="s">
        <v>4</v>
      </c>
    </row>
    <row r="11" spans="1:25" ht="15" customHeight="1" x14ac:dyDescent="0.3">
      <c r="A11" s="91" t="str">
        <f>PROPER(TEXT(B11, "dddd"))</f>
        <v>Fredag</v>
      </c>
      <c r="B11" s="93">
        <f t="shared" ref="B11" si="4">Fredag28</f>
        <v>45849</v>
      </c>
      <c r="C11" s="46"/>
      <c r="D11" s="54"/>
      <c r="E11" s="55"/>
      <c r="F11" s="56"/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>PROPER(TEXT(B13, "dddd"))</f>
        <v>Lördag</v>
      </c>
      <c r="B13" s="93">
        <f t="shared" ref="B13" si="5">Lördag28</f>
        <v>45850</v>
      </c>
      <c r="C13" s="46"/>
      <c r="D13" s="54"/>
      <c r="E13" s="55"/>
      <c r="F13" s="56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</row>
    <row r="15" spans="1:25" ht="15" customHeight="1" x14ac:dyDescent="0.3">
      <c r="A15" s="91" t="str">
        <f>PROPER(TEXT(B15, "dddd"))</f>
        <v>Söndag</v>
      </c>
      <c r="B15" s="93">
        <f t="shared" ref="B15" si="6">Söndag28</f>
        <v>45851</v>
      </c>
      <c r="C15" s="46"/>
      <c r="D15" s="54"/>
      <c r="E15" s="55"/>
      <c r="F15" s="56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6"/>
      <c r="D17" s="47"/>
    </row>
    <row r="18" spans="3:4" ht="15" customHeight="1" x14ac:dyDescent="0.3">
      <c r="C18" s="46"/>
      <c r="D18" s="8"/>
    </row>
    <row r="19" spans="3:4" ht="15" customHeight="1" x14ac:dyDescent="0.3">
      <c r="C19" s="46"/>
      <c r="D19" s="8"/>
    </row>
  </sheetData>
  <sheetProtection algorithmName="SHA-512" hashValue="Dpr6QLFlmamEpeP1l39aVbUvsmDdT3J9239rLN9fGbhjMVM30vtPkyb/2FMGKTYaSzPVZfVReo9J+SOyonoIqg==" saltValue="oOm5p2RpftITpZYCcZxg3g==" spinCount="100000" sheet="1" objects="1" scenarios="1" autoFilter="0" pivotTables="0"/>
  <conditionalFormatting sqref="A3 A5 A7 A9 A11 A13 A15">
    <cfRule type="cellIs" dxfId="1901" priority="1" operator="equal">
      <formula>"Datum"</formula>
    </cfRule>
    <cfRule type="cellIs" dxfId="1900" priority="2" operator="equal">
      <formula>"Dag"</formula>
    </cfRule>
    <cfRule type="expression" dxfId="1899" priority="4">
      <formula>OR(IF($A2="Dag",1))</formula>
    </cfRule>
  </conditionalFormatting>
  <conditionalFormatting sqref="A14">
    <cfRule type="expression" dxfId="1898" priority="22">
      <formula>OR(IF(#REF!="Dag",1))</formula>
    </cfRule>
  </conditionalFormatting>
  <conditionalFormatting sqref="A1:B2 B3 A4:B4 A6:B6 A8:B8 A10:B10 A12:B12 A14:B14 A16:B1048576 B5 B7 B9 B11 B13 B15">
    <cfRule type="cellIs" dxfId="1897" priority="14" operator="equal">
      <formula>"Datum"</formula>
    </cfRule>
    <cfRule type="cellIs" dxfId="1896" priority="15" operator="equal">
      <formula>"Dag"</formula>
    </cfRule>
  </conditionalFormatting>
  <conditionalFormatting sqref="B3 B5 B7 B9 B11 B13 B15">
    <cfRule type="expression" dxfId="1895" priority="21">
      <formula>OR(IF($B2="Datum",1))</formula>
    </cfRule>
  </conditionalFormatting>
  <conditionalFormatting sqref="C3:E15">
    <cfRule type="expression" dxfId="1894" priority="18">
      <formula>OR(IF($E3="Hela hallen",1))</formula>
    </cfRule>
  </conditionalFormatting>
  <conditionalFormatting sqref="L1:T1048576">
    <cfRule type="cellIs" dxfId="1893" priority="13" operator="equal">
      <formula>"-"</formula>
    </cfRule>
  </conditionalFormatting>
  <conditionalFormatting sqref="C3:F15">
    <cfRule type="expression" dxfId="1892" priority="2229">
      <formula>OR(IF(#REF!=TRUE,1))</formula>
    </cfRule>
  </conditionalFormatting>
  <conditionalFormatting sqref="A4 A6 A8 A10 A12">
    <cfRule type="expression" dxfId="1891" priority="2230">
      <formula>OR(IF(#REF!="Dag",1))</formula>
    </cfRule>
  </conditionalFormatting>
  <conditionalFormatting sqref="B4 B6 B8 B10 B12 B14">
    <cfRule type="expression" dxfId="1890" priority="2232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BBFD090-C30B-4EA2-9951-2781325A61CE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A5:B5 A7:B7 A9:B9 A11:B11 A13:B13 A15:B15 A3:B3</xm:sqref>
        </x14:conditionalFormatting>
        <x14:conditionalFormatting xmlns:xm="http://schemas.microsoft.com/office/excel/2006/main">
          <x14:cfRule type="expression" priority="2241" id="{D3B570F7-AA3B-4ECF-9C85-DBA389643A10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7F26F0-73B7-45DD-B3E4-09ACF3B107B2}">
          <x14:formula1>
            <xm:f>Kontaktuppgifter!$A$2:$A$300</xm:f>
          </x14:formula1>
          <xm:sqref>F3 F5 F7 F9 F11 F13 F15</xm:sqref>
        </x14:dataValidation>
        <x14:dataValidation type="list" allowBlank="1" showInputMessage="1" showErrorMessage="1" xr:uid="{22F64229-468F-4FAB-A943-419709B7B6C9}">
          <x14:formula1>
            <xm:f>Listor!$A$2:$A$150</xm:f>
          </x14:formula1>
          <xm:sqref>E3 E5 E7 E9 E11 E13 E15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419C-30E6-4792-B1CE-40AAA65FC551}">
  <sheetPr codeName="Blad30"/>
  <dimension ref="A1:Y19"/>
  <sheetViews>
    <sheetView showGridLines="0" tabSelected="1" zoomScaleNormal="100" workbookViewId="0">
      <pane ySplit="2" topLeftCell="A3" activePane="bottomLeft" state="frozen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Måndag29</f>
        <v>45852</v>
      </c>
      <c r="W1" s="39">
        <f>Söndag29</f>
        <v>45858</v>
      </c>
      <c r="X1" s="40">
        <f>WEEKNUM(Söndag29, 2)</f>
        <v>29</v>
      </c>
      <c r="Y1" s="41" t="str">
        <f>"V. "&amp;X1&amp;", "&amp;TEXT(V1,"D MMM")&amp;"-"&amp;TEXT(W1,"D MMM")</f>
        <v>V. 29, 14 jul-20 jul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Måndag29</f>
        <v>45852</v>
      </c>
      <c r="C3" s="46"/>
      <c r="D3" s="47"/>
      <c r="E3" s="48"/>
      <c r="F3" s="49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>PROPER(TEXT(B5, "dddd"))</f>
        <v>Tisdag</v>
      </c>
      <c r="B5" s="93">
        <f t="shared" ref="B5" si="1">Tisdag29</f>
        <v>45853</v>
      </c>
      <c r="C5" s="46"/>
      <c r="D5" s="54"/>
      <c r="E5" s="55"/>
      <c r="F5" s="56"/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</row>
    <row r="7" spans="1:25" ht="15" customHeight="1" x14ac:dyDescent="0.3">
      <c r="A7" s="91" t="str">
        <f>PROPER(TEXT(B7, "dddd"))</f>
        <v>Onsdag</v>
      </c>
      <c r="B7" s="93">
        <f t="shared" ref="B7" si="2">Onsdag29</f>
        <v>45854</v>
      </c>
      <c r="C7" s="46"/>
      <c r="D7" s="54"/>
      <c r="E7" s="55"/>
      <c r="F7" s="56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</row>
    <row r="9" spans="1:25" ht="15" customHeight="1" x14ac:dyDescent="0.3">
      <c r="A9" s="91" t="str">
        <f>PROPER(TEXT(B9, "dddd"))</f>
        <v>Torsdag</v>
      </c>
      <c r="B9" s="93">
        <f t="shared" ref="B9" si="3">Torsdag29</f>
        <v>45855</v>
      </c>
      <c r="C9" s="46"/>
      <c r="D9" s="54"/>
      <c r="E9" s="55"/>
      <c r="F9" s="56"/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91" t="s">
        <v>0</v>
      </c>
      <c r="B10" s="93" t="s">
        <v>1</v>
      </c>
      <c r="C10" s="50" t="s">
        <v>838</v>
      </c>
      <c r="D10" s="51" t="s">
        <v>2</v>
      </c>
      <c r="E10" s="52" t="s">
        <v>3</v>
      </c>
      <c r="F10" s="53" t="s">
        <v>4</v>
      </c>
    </row>
    <row r="11" spans="1:25" ht="15" customHeight="1" x14ac:dyDescent="0.3">
      <c r="A11" s="91" t="str">
        <f>PROPER(TEXT(B11, "dddd"))</f>
        <v>Fredag</v>
      </c>
      <c r="B11" s="93">
        <f t="shared" ref="B11" si="4">Fredag29</f>
        <v>45856</v>
      </c>
      <c r="C11" s="46"/>
      <c r="D11" s="54"/>
      <c r="E11" s="55"/>
      <c r="F11" s="56"/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>PROPER(TEXT(B13, "dddd"))</f>
        <v>Lördag</v>
      </c>
      <c r="B13" s="93">
        <f t="shared" ref="B13" si="5">Lördag29</f>
        <v>45857</v>
      </c>
      <c r="C13" s="46"/>
      <c r="D13" s="54"/>
      <c r="E13" s="55"/>
      <c r="F13" s="56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</row>
    <row r="15" spans="1:25" ht="15" customHeight="1" x14ac:dyDescent="0.3">
      <c r="A15" s="91" t="str">
        <f>PROPER(TEXT(B15, "dddd"))</f>
        <v>Söndag</v>
      </c>
      <c r="B15" s="93">
        <f t="shared" ref="B15" si="6">Söndag29</f>
        <v>45858</v>
      </c>
      <c r="C15" s="46"/>
      <c r="D15" s="54"/>
      <c r="E15" s="55"/>
      <c r="F15" s="56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6"/>
      <c r="D17" s="47"/>
    </row>
    <row r="18" spans="3:4" ht="15" customHeight="1" x14ac:dyDescent="0.3">
      <c r="C18" s="46"/>
      <c r="D18" s="8"/>
    </row>
    <row r="19" spans="3:4" ht="15" customHeight="1" x14ac:dyDescent="0.3">
      <c r="C19" s="46"/>
      <c r="D19" s="8"/>
    </row>
  </sheetData>
  <sheetProtection algorithmName="SHA-512" hashValue="fyyOgB2v9m8hFyBk9tXNMPOz1ebsDsu7OFSDfmJG8QcNE5caVBG89x/AX5rZIE04aER5ZGm8eONRA1Ts3muyuw==" saltValue="gGSBqCTpzliOFmrVODzL+Q==" spinCount="100000" sheet="1" objects="1" scenarios="1" autoFilter="0" pivotTables="0"/>
  <conditionalFormatting sqref="A3 A5 A7 A9 A11 A13 A15">
    <cfRule type="cellIs" dxfId="1831" priority="1" operator="equal">
      <formula>"Datum"</formula>
    </cfRule>
    <cfRule type="cellIs" dxfId="1830" priority="2" operator="equal">
      <formula>"Dag"</formula>
    </cfRule>
    <cfRule type="expression" dxfId="1829" priority="4">
      <formula>OR(IF($A2="Dag",1))</formula>
    </cfRule>
  </conditionalFormatting>
  <conditionalFormatting sqref="A14">
    <cfRule type="expression" dxfId="1828" priority="22">
      <formula>OR(IF(#REF!="Dag",1))</formula>
    </cfRule>
  </conditionalFormatting>
  <conditionalFormatting sqref="A1:B2 B3 A4:B4 B5 A6:B6 B7 A8:B8 B9 A10:B10 B11 A12:B12 B13 A14:B14 B15 A16:B1048576">
    <cfRule type="cellIs" dxfId="1827" priority="14" operator="equal">
      <formula>"Datum"</formula>
    </cfRule>
    <cfRule type="cellIs" dxfId="1826" priority="15" operator="equal">
      <formula>"Dag"</formula>
    </cfRule>
  </conditionalFormatting>
  <conditionalFormatting sqref="B3 B5 B7 B9 B11 B13 B15">
    <cfRule type="expression" dxfId="1825" priority="21">
      <formula>OR(IF($B2="Datum",1))</formula>
    </cfRule>
  </conditionalFormatting>
  <conditionalFormatting sqref="C3:E15">
    <cfRule type="expression" dxfId="1824" priority="18">
      <formula>OR(IF($E3="Hela hallen",1))</formula>
    </cfRule>
  </conditionalFormatting>
  <conditionalFormatting sqref="L1:T1048576">
    <cfRule type="cellIs" dxfId="1823" priority="13" operator="equal">
      <formula>"-"</formula>
    </cfRule>
  </conditionalFormatting>
  <conditionalFormatting sqref="C3:F15">
    <cfRule type="expression" dxfId="1822" priority="2243">
      <formula>OR(IF(#REF!=TRUE,1))</formula>
    </cfRule>
  </conditionalFormatting>
  <conditionalFormatting sqref="A4 A6 A8 A10 A12">
    <cfRule type="expression" dxfId="1821" priority="2244">
      <formula>OR(IF(#REF!="Dag",1))</formula>
    </cfRule>
  </conditionalFormatting>
  <conditionalFormatting sqref="B4 B6 B8 B10 B12 B14">
    <cfRule type="expression" dxfId="1820" priority="2246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D866467-ABAA-4925-A3F1-F2BE651D414D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A7:B7 A9:B9 A11:B11 A13:B13 A15:B15</xm:sqref>
        </x14:conditionalFormatting>
        <x14:conditionalFormatting xmlns:xm="http://schemas.microsoft.com/office/excel/2006/main">
          <x14:cfRule type="expression" priority="2255" id="{4D50E2DD-14B1-4E95-A97C-68CF3DEC1EB3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655C77-95C5-4637-B323-8C1DB84C1E21}">
          <x14:formula1>
            <xm:f>Listor!$A$2:$A$150</xm:f>
          </x14:formula1>
          <xm:sqref>E3 E5 E7 E9 E11 E13 E15</xm:sqref>
        </x14:dataValidation>
        <x14:dataValidation type="list" allowBlank="1" showInputMessage="1" showErrorMessage="1" xr:uid="{57B67AFB-9D21-43E2-B3F8-872956E194F1}">
          <x14:formula1>
            <xm:f>Kontaktuppgifter!$A$2:$A$300</xm:f>
          </x14:formula1>
          <xm:sqref>F3 F5 F7 F9 F11 F13 F15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A00C4-0EDB-4206-B34D-7595500AB127}">
  <sheetPr codeName="Blad31"/>
  <dimension ref="A1:Y19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Måndag30</f>
        <v>45859</v>
      </c>
      <c r="W1" s="39">
        <f>Söndag30</f>
        <v>45865</v>
      </c>
      <c r="X1" s="40">
        <f>WEEKNUM(Söndag30, 2)</f>
        <v>30</v>
      </c>
      <c r="Y1" s="41" t="str">
        <f>"V. "&amp;X1&amp;", "&amp;TEXT(V1,"D MMM")&amp;"-"&amp;TEXT(W1,"D MMM")</f>
        <v>V. 30, 21 jul-27 jul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Måndag30</f>
        <v>45859</v>
      </c>
      <c r="C3" s="46"/>
      <c r="D3" s="47"/>
      <c r="E3" s="48"/>
      <c r="F3" s="49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>PROPER(TEXT(B5, "dddd"))</f>
        <v>Tisdag</v>
      </c>
      <c r="B5" s="93">
        <f t="shared" ref="B5" si="1">Tisdag30</f>
        <v>45860</v>
      </c>
      <c r="C5" s="46"/>
      <c r="D5" s="54"/>
      <c r="E5" s="55"/>
      <c r="F5" s="56"/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</row>
    <row r="7" spans="1:25" ht="15" customHeight="1" x14ac:dyDescent="0.3">
      <c r="A7" s="91" t="str">
        <f t="shared" ref="A7" si="2">PROPER(TEXT(B7, "dddd"))</f>
        <v>Onsdag</v>
      </c>
      <c r="B7" s="93">
        <f t="shared" ref="B7" si="3">Onsdag30</f>
        <v>45861</v>
      </c>
      <c r="C7" s="46"/>
      <c r="D7" s="54"/>
      <c r="E7" s="55"/>
      <c r="F7" s="56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</row>
    <row r="9" spans="1:25" ht="15" customHeight="1" x14ac:dyDescent="0.3">
      <c r="A9" s="91" t="str">
        <f>PROPER(TEXT(B9, "dddd"))</f>
        <v>Torsdag</v>
      </c>
      <c r="B9" s="93">
        <f t="shared" ref="B9" si="4">Torsdag30</f>
        <v>45862</v>
      </c>
      <c r="C9" s="46"/>
      <c r="D9" s="54"/>
      <c r="E9" s="55"/>
      <c r="F9" s="56"/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91" t="s">
        <v>0</v>
      </c>
      <c r="B10" s="93" t="s">
        <v>1</v>
      </c>
      <c r="C10" s="50" t="s">
        <v>838</v>
      </c>
      <c r="D10" s="51" t="s">
        <v>2</v>
      </c>
      <c r="E10" s="52" t="s">
        <v>3</v>
      </c>
      <c r="F10" s="53" t="s">
        <v>4</v>
      </c>
    </row>
    <row r="11" spans="1:25" ht="15" customHeight="1" x14ac:dyDescent="0.3">
      <c r="A11" s="91" t="str">
        <f>PROPER(TEXT(B11, "dddd"))</f>
        <v>Fredag</v>
      </c>
      <c r="B11" s="93">
        <f t="shared" ref="B11" si="5">Fredag30</f>
        <v>45863</v>
      </c>
      <c r="C11" s="46"/>
      <c r="D11" s="54"/>
      <c r="E11" s="55"/>
      <c r="F11" s="56"/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>PROPER(TEXT(B13, "dddd"))</f>
        <v>Lördag</v>
      </c>
      <c r="B13" s="93">
        <f t="shared" ref="B13" si="6">Lördag30</f>
        <v>45864</v>
      </c>
      <c r="C13" s="46"/>
      <c r="D13" s="54"/>
      <c r="E13" s="55"/>
      <c r="F13" s="56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</row>
    <row r="15" spans="1:25" ht="15" customHeight="1" x14ac:dyDescent="0.3">
      <c r="A15" s="91" t="str">
        <f>PROPER(TEXT(B15, "dddd"))</f>
        <v>Söndag</v>
      </c>
      <c r="B15" s="93">
        <f t="shared" ref="B15" si="7">Söndag30</f>
        <v>45865</v>
      </c>
      <c r="C15" s="46"/>
      <c r="D15" s="54"/>
      <c r="E15" s="55"/>
      <c r="F15" s="56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6"/>
      <c r="D17" s="47"/>
    </row>
    <row r="18" spans="3:4" ht="15" customHeight="1" x14ac:dyDescent="0.3">
      <c r="C18" s="46"/>
      <c r="D18" s="8"/>
    </row>
    <row r="19" spans="3:4" ht="15" customHeight="1" x14ac:dyDescent="0.3">
      <c r="C19" s="46"/>
      <c r="D19" s="8"/>
    </row>
  </sheetData>
  <sheetProtection algorithmName="SHA-512" hashValue="SQj2SI6a8dsM1pCF4EDNUvmurFv7lSC4+8kllKSucPPQhvC6dol234gvNFNjxIfbD6eOulpzz6WR6oOPK8wWUA==" saltValue="GRjIKZOTcLmG1Qn7127HbA==" spinCount="100000" sheet="1" objects="1" scenarios="1" autoFilter="0" pivotTables="0"/>
  <conditionalFormatting sqref="A3 A5 A9 A11 A13 A15">
    <cfRule type="cellIs" dxfId="1761" priority="1" operator="equal">
      <formula>"Datum"</formula>
    </cfRule>
    <cfRule type="cellIs" dxfId="1760" priority="2" operator="equal">
      <formula>"Dag"</formula>
    </cfRule>
    <cfRule type="expression" dxfId="1759" priority="4">
      <formula>OR(IF($A2="Dag",1))</formula>
    </cfRule>
  </conditionalFormatting>
  <conditionalFormatting sqref="A14">
    <cfRule type="expression" dxfId="1758" priority="22">
      <formula>OR(IF(#REF!="Dag",1))</formula>
    </cfRule>
  </conditionalFormatting>
  <conditionalFormatting sqref="A1:B2 B3 A4:B4 B5 A6:B6 A8:B8 B9 A10:B10 B11 A12:B12 B13 A14:B14 B15 A16:B1048576 B7">
    <cfRule type="cellIs" dxfId="1757" priority="14" operator="equal">
      <formula>"Datum"</formula>
    </cfRule>
    <cfRule type="cellIs" dxfId="1756" priority="15" operator="equal">
      <formula>"Dag"</formula>
    </cfRule>
  </conditionalFormatting>
  <conditionalFormatting sqref="B3 B5 B9 B11 B13 B15">
    <cfRule type="expression" dxfId="1755" priority="21">
      <formula>OR(IF($B2="Datum",1))</formula>
    </cfRule>
  </conditionalFormatting>
  <conditionalFormatting sqref="C3:E15">
    <cfRule type="expression" dxfId="1754" priority="18">
      <formula>OR(IF($E3="Hela hallen",1))</formula>
    </cfRule>
  </conditionalFormatting>
  <conditionalFormatting sqref="L1:T1048576">
    <cfRule type="cellIs" dxfId="1753" priority="13" operator="equal">
      <formula>"-"</formula>
    </cfRule>
  </conditionalFormatting>
  <conditionalFormatting sqref="C3:F15">
    <cfRule type="expression" dxfId="1752" priority="2257">
      <formula>OR(IF(#REF!=TRUE,1))</formula>
    </cfRule>
  </conditionalFormatting>
  <conditionalFormatting sqref="A4 A6 A8 A10 A12">
    <cfRule type="expression" dxfId="1751" priority="2258">
      <formula>OR(IF(#REF!="Dag",1))</formula>
    </cfRule>
  </conditionalFormatting>
  <conditionalFormatting sqref="B4 B6:B8 B10 B12 B14">
    <cfRule type="expression" dxfId="1750" priority="2260">
      <formula>OR(IF(#REF!="Datum",1))</formula>
    </cfRule>
  </conditionalFormatting>
  <conditionalFormatting sqref="A7">
    <cfRule type="cellIs" dxfId="1749" priority="2270" operator="equal">
      <formula>"Datum"</formula>
    </cfRule>
    <cfRule type="cellIs" dxfId="1748" priority="2271" operator="equal">
      <formula>"Dag"</formula>
    </cfRule>
    <cfRule type="expression" dxfId="1747" priority="2272">
      <formula>OR(IF(#REF!="Dag",1))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F433908-CCD6-4A5F-96A5-59F49CFE147F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A9:B9 A11:B11 A13:B13 A15:B15</xm:sqref>
        </x14:conditionalFormatting>
        <x14:conditionalFormatting xmlns:xm="http://schemas.microsoft.com/office/excel/2006/main">
          <x14:cfRule type="expression" priority="2269" id="{18451F43-94D5-421B-814A-C5352D2E299D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B8123C-84FD-4BD9-924F-440AE21BB575}">
          <x14:formula1>
            <xm:f>Kontaktuppgifter!$A$2:$A$300</xm:f>
          </x14:formula1>
          <xm:sqref>F3 F5 F9 F11 F13 F15 F7</xm:sqref>
        </x14:dataValidation>
        <x14:dataValidation type="list" allowBlank="1" showInputMessage="1" showErrorMessage="1" xr:uid="{77B1D089-F128-47CE-A395-525940BA1A70}">
          <x14:formula1>
            <xm:f>Listor!$A$2:$A$150</xm:f>
          </x14:formula1>
          <xm:sqref>E3 E5 E9 E11 E13 E15 E7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6F71-BCD0-4CA2-9C58-8CEBF8A07F8F}">
  <sheetPr codeName="Blad32"/>
  <dimension ref="A1:Y19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Måndag31</f>
        <v>45866</v>
      </c>
      <c r="W1" s="39">
        <f>Söndag31</f>
        <v>45872</v>
      </c>
      <c r="X1" s="40">
        <f>WEEKNUM(Söndag31, 2)</f>
        <v>31</v>
      </c>
      <c r="Y1" s="41" t="str">
        <f>"V. "&amp;X1&amp;", "&amp;TEXT(V1,"D MMM")&amp;"-"&amp;TEXT(W1,"D MMM")</f>
        <v>V. 31, 28 jul-3 aug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Måndag31</f>
        <v>45866</v>
      </c>
      <c r="C3" s="46"/>
      <c r="D3" s="47"/>
      <c r="E3" s="48"/>
      <c r="F3" s="49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>PROPER(TEXT(B5, "dddd"))</f>
        <v>Tisdag</v>
      </c>
      <c r="B5" s="93">
        <f t="shared" ref="B5" si="1">Tisdag31</f>
        <v>45867</v>
      </c>
      <c r="C5" s="46"/>
      <c r="D5" s="54"/>
      <c r="E5" s="55"/>
      <c r="F5" s="56"/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</row>
    <row r="7" spans="1:25" ht="15" customHeight="1" x14ac:dyDescent="0.3">
      <c r="A7" s="91" t="str">
        <f>PROPER(TEXT(B7, "dddd"))</f>
        <v>Onsdag</v>
      </c>
      <c r="B7" s="93">
        <f t="shared" ref="B7" si="2">Onsdag31</f>
        <v>45868</v>
      </c>
      <c r="C7" s="46"/>
      <c r="D7" s="54"/>
      <c r="E7" s="55"/>
      <c r="F7" s="56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</row>
    <row r="9" spans="1:25" ht="15" customHeight="1" x14ac:dyDescent="0.3">
      <c r="A9" s="91" t="str">
        <f>PROPER(TEXT(B9, "dddd"))</f>
        <v>Torsdag</v>
      </c>
      <c r="B9" s="93">
        <f t="shared" ref="B9" si="3">Torsdag31</f>
        <v>45869</v>
      </c>
      <c r="C9" s="46"/>
      <c r="D9" s="54"/>
      <c r="E9" s="55"/>
      <c r="F9" s="56"/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91" t="s">
        <v>0</v>
      </c>
      <c r="B10" s="93" t="s">
        <v>1</v>
      </c>
      <c r="C10" s="50" t="s">
        <v>838</v>
      </c>
      <c r="D10" s="51" t="s">
        <v>2</v>
      </c>
      <c r="E10" s="52" t="s">
        <v>3</v>
      </c>
      <c r="F10" s="53" t="s">
        <v>4</v>
      </c>
    </row>
    <row r="11" spans="1:25" ht="15" customHeight="1" x14ac:dyDescent="0.3">
      <c r="A11" s="91" t="str">
        <f>PROPER(TEXT(B11, "dddd"))</f>
        <v>Fredag</v>
      </c>
      <c r="B11" s="93">
        <f t="shared" ref="B11" si="4">Fredag31</f>
        <v>45870</v>
      </c>
      <c r="C11" s="46"/>
      <c r="D11" s="54"/>
      <c r="E11" s="55"/>
      <c r="F11" s="56"/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>PROPER(TEXT(B13, "dddd"))</f>
        <v>Lördag</v>
      </c>
      <c r="B13" s="93">
        <f t="shared" ref="B13" si="5">Lördag31</f>
        <v>45871</v>
      </c>
      <c r="C13" s="46"/>
      <c r="D13" s="54"/>
      <c r="E13" s="55"/>
      <c r="F13" s="56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</row>
    <row r="15" spans="1:25" ht="15" customHeight="1" x14ac:dyDescent="0.3">
      <c r="A15" s="91" t="str">
        <f>PROPER(TEXT(B15, "dddd"))</f>
        <v>Söndag</v>
      </c>
      <c r="B15" s="93">
        <f t="shared" ref="B15" si="6">Söndag31</f>
        <v>45872</v>
      </c>
      <c r="C15" s="46"/>
      <c r="D15" s="54"/>
      <c r="E15" s="55"/>
      <c r="F15" s="56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6"/>
      <c r="D17" s="47"/>
    </row>
    <row r="18" spans="3:4" ht="15" customHeight="1" x14ac:dyDescent="0.3">
      <c r="C18" s="46"/>
      <c r="D18" s="8"/>
    </row>
    <row r="19" spans="3:4" ht="15" customHeight="1" x14ac:dyDescent="0.3">
      <c r="C19" s="46"/>
      <c r="D19" s="8"/>
    </row>
  </sheetData>
  <sheetProtection algorithmName="SHA-512" hashValue="hSQEJ2ef+RCwj0b4hkJV8YyYNu2RJQg0albv+TX5vfeREpyu5NQ9q82mol0IDftXSDXoPXuXFDuTRHLmigACKg==" saltValue="gaOUxho3sVNwAWGQCk9tew==" spinCount="100000" sheet="1" objects="1" scenarios="1" autoFilter="0" pivotTables="0"/>
  <conditionalFormatting sqref="A3 A5 A7 A9 A11 A13 A15">
    <cfRule type="cellIs" dxfId="1688" priority="1" operator="equal">
      <formula>"Datum"</formula>
    </cfRule>
    <cfRule type="cellIs" dxfId="1687" priority="2" operator="equal">
      <formula>"Dag"</formula>
    </cfRule>
    <cfRule type="expression" dxfId="1686" priority="4">
      <formula>OR(IF($A2="Dag",1))</formula>
    </cfRule>
  </conditionalFormatting>
  <conditionalFormatting sqref="A14">
    <cfRule type="expression" dxfId="1685" priority="22">
      <formula>OR(IF(#REF!="Dag",1))</formula>
    </cfRule>
  </conditionalFormatting>
  <conditionalFormatting sqref="A1:B2 B3 A4:B4 B5 A6:B6 B7 A8:B8 B9 A10:B10 B11 A12:B12 B13 A14:B14 B15 A16:B1048576">
    <cfRule type="cellIs" dxfId="1684" priority="14" operator="equal">
      <formula>"Datum"</formula>
    </cfRule>
    <cfRule type="cellIs" dxfId="1683" priority="15" operator="equal">
      <formula>"Dag"</formula>
    </cfRule>
  </conditionalFormatting>
  <conditionalFormatting sqref="B3 B5 B7 B9 B11 B13 B15">
    <cfRule type="expression" dxfId="1682" priority="21">
      <formula>OR(IF($B2="Datum",1))</formula>
    </cfRule>
  </conditionalFormatting>
  <conditionalFormatting sqref="C3:E15">
    <cfRule type="expression" dxfId="1681" priority="18">
      <formula>OR(IF($E3="Hela hallen",1))</formula>
    </cfRule>
  </conditionalFormatting>
  <conditionalFormatting sqref="L1:T1048576">
    <cfRule type="cellIs" dxfId="1680" priority="13" operator="equal">
      <formula>"-"</formula>
    </cfRule>
  </conditionalFormatting>
  <conditionalFormatting sqref="C3:F15">
    <cfRule type="expression" dxfId="1679" priority="2274">
      <formula>OR(IF(#REF!=TRUE,1))</formula>
    </cfRule>
  </conditionalFormatting>
  <conditionalFormatting sqref="A4 A6 A8 A10 A12">
    <cfRule type="expression" dxfId="1678" priority="2275">
      <formula>OR(IF(#REF!="Dag",1))</formula>
    </cfRule>
  </conditionalFormatting>
  <conditionalFormatting sqref="B4 B6 B8 B10 B12 B14">
    <cfRule type="expression" dxfId="1677" priority="2277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2ECC728-C6B3-4895-B8BC-35C71A0AAC85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A7:B7 A9:B9 A11:B11 A13:B13 A15:B15</xm:sqref>
        </x14:conditionalFormatting>
        <x14:conditionalFormatting xmlns:xm="http://schemas.microsoft.com/office/excel/2006/main">
          <x14:cfRule type="expression" priority="2286" id="{5E2D4916-3DAC-44B5-9135-3BBC2A7A234F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EFBFEA1-BC32-458F-BF93-E889EE29D512}">
          <x14:formula1>
            <xm:f>Listor!$A$2:$A$150</xm:f>
          </x14:formula1>
          <xm:sqref>E3 E5 E7 E9 E11 E13 E15</xm:sqref>
        </x14:dataValidation>
        <x14:dataValidation type="list" allowBlank="1" showInputMessage="1" showErrorMessage="1" xr:uid="{0C184DDC-F4E3-452B-959B-4D174E8051CA}">
          <x14:formula1>
            <xm:f>Kontaktuppgifter!$A$2:$A$300</xm:f>
          </x14:formula1>
          <xm:sqref>F3 F5 F7 F9 F11 F13 F15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3332-1763-4336-81E9-21893394EDFD}">
  <sheetPr codeName="Blad33"/>
  <dimension ref="A1:Y23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Måndag32</f>
        <v>45873</v>
      </c>
      <c r="W1" s="39">
        <f>Söndag32</f>
        <v>45879</v>
      </c>
      <c r="X1" s="40">
        <f>WEEKNUM(Söndag32, 2)</f>
        <v>32</v>
      </c>
      <c r="Y1" s="41" t="str">
        <f>"V. "&amp;X1&amp;", "&amp;TEXT(V1,"D MMM")&amp;"-"&amp;TEXT(W1,"D MMM")</f>
        <v>V. 32, 4 aug-10 aug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Måndag32</f>
        <v>45873</v>
      </c>
      <c r="C3" s="46">
        <v>0.33333333333333331</v>
      </c>
      <c r="D3" s="47">
        <v>0.39583333333333331</v>
      </c>
      <c r="E3" s="48" t="s">
        <v>83</v>
      </c>
      <c r="F3" s="49" t="s">
        <v>954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0.66666666666666663</v>
      </c>
      <c r="D4" s="47">
        <v>0.8125</v>
      </c>
      <c r="E4" s="48" t="s">
        <v>89</v>
      </c>
      <c r="F4" s="49" t="s">
        <v>949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s="10" customFormat="1" ht="20.100000000000001" hidden="1" customHeight="1" x14ac:dyDescent="0.3">
      <c r="A5" s="91" t="s">
        <v>0</v>
      </c>
      <c r="B5" s="93" t="s">
        <v>1</v>
      </c>
      <c r="C5" s="50" t="s">
        <v>838</v>
      </c>
      <c r="D5" s="51" t="s">
        <v>2</v>
      </c>
      <c r="E5" s="52" t="s">
        <v>3</v>
      </c>
      <c r="F5" s="53" t="s">
        <v>4</v>
      </c>
    </row>
    <row r="6" spans="1:25" ht="15" customHeight="1" x14ac:dyDescent="0.3">
      <c r="A6" s="91" t="str">
        <f>PROPER(TEXT(B6, "dddd"))</f>
        <v>Tisdag</v>
      </c>
      <c r="B6" s="93">
        <f t="shared" ref="B6" si="1">Tisdag32</f>
        <v>45874</v>
      </c>
      <c r="C6" s="46">
        <v>0.6875</v>
      </c>
      <c r="D6" s="54">
        <v>0.70833333333333337</v>
      </c>
      <c r="E6" s="55" t="s">
        <v>99</v>
      </c>
      <c r="F6" s="56" t="s">
        <v>737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0.33333333333333331</v>
      </c>
      <c r="D7" s="54">
        <v>0.5</v>
      </c>
      <c r="E7" s="55" t="s">
        <v>89</v>
      </c>
      <c r="F7" s="56" t="s">
        <v>725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0.54166666666666663</v>
      </c>
      <c r="D8" s="54">
        <v>0.66666666666666663</v>
      </c>
      <c r="E8" s="55" t="s">
        <v>100</v>
      </c>
      <c r="F8" s="56" t="s">
        <v>725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0.6875</v>
      </c>
      <c r="D9" s="54">
        <v>0.83333333333333337</v>
      </c>
      <c r="E9" s="55" t="s">
        <v>89</v>
      </c>
      <c r="F9" s="56" t="s">
        <v>942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91" t="s">
        <v>0</v>
      </c>
      <c r="B10" s="93" t="s">
        <v>1</v>
      </c>
      <c r="C10" s="50" t="s">
        <v>838</v>
      </c>
      <c r="D10" s="51" t="s">
        <v>2</v>
      </c>
      <c r="E10" s="52" t="s">
        <v>3</v>
      </c>
      <c r="F10" s="53" t="s">
        <v>4</v>
      </c>
    </row>
    <row r="11" spans="1:25" ht="15" customHeight="1" x14ac:dyDescent="0.3">
      <c r="A11" s="91" t="str">
        <f>PROPER(TEXT(B11, "dddd"))</f>
        <v>Onsdag</v>
      </c>
      <c r="B11" s="93">
        <f t="shared" ref="B11" si="2">Onsdag32</f>
        <v>45875</v>
      </c>
      <c r="C11" s="46">
        <v>0.6875</v>
      </c>
      <c r="D11" s="54">
        <v>0.83333333333333337</v>
      </c>
      <c r="E11" s="55" t="s">
        <v>89</v>
      </c>
      <c r="F11" s="56" t="s">
        <v>942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>PROPER(TEXT(B13, "dddd"))</f>
        <v>Torsdag</v>
      </c>
      <c r="B13" s="93">
        <f t="shared" ref="B13" si="3">Torsdag32</f>
        <v>45876</v>
      </c>
      <c r="C13" s="46">
        <v>0.66666666666666663</v>
      </c>
      <c r="D13" s="54">
        <v>0.8125</v>
      </c>
      <c r="E13" s="55" t="s">
        <v>89</v>
      </c>
      <c r="F13" s="56" t="s">
        <v>949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</row>
    <row r="15" spans="1:25" ht="15" customHeight="1" x14ac:dyDescent="0.3">
      <c r="A15" s="91" t="str">
        <f>PROPER(TEXT(B15, "dddd"))</f>
        <v>Fredag</v>
      </c>
      <c r="B15" s="93">
        <f t="shared" ref="B15" si="4">Fredag32</f>
        <v>45877</v>
      </c>
      <c r="C15" s="46">
        <v>0.6875</v>
      </c>
      <c r="D15" s="54">
        <v>0.8125</v>
      </c>
      <c r="E15" s="55"/>
      <c r="F15" s="56" t="s">
        <v>159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s="10" customFormat="1" ht="20.100000000000001" hidden="1" customHeight="1" x14ac:dyDescent="0.3">
      <c r="A16" s="91" t="s">
        <v>0</v>
      </c>
      <c r="B16" s="93" t="s">
        <v>1</v>
      </c>
      <c r="C16" s="50" t="s">
        <v>838</v>
      </c>
      <c r="D16" s="51" t="s">
        <v>2</v>
      </c>
      <c r="E16" s="52" t="s">
        <v>3</v>
      </c>
      <c r="F16" s="53" t="s">
        <v>4</v>
      </c>
    </row>
    <row r="17" spans="1:24" ht="15" customHeight="1" x14ac:dyDescent="0.3">
      <c r="A17" s="91" t="str">
        <f>PROPER(TEXT(B17, "dddd"))</f>
        <v>Lördag</v>
      </c>
      <c r="B17" s="93">
        <f t="shared" ref="B17" si="5">Lördag32</f>
        <v>45878</v>
      </c>
      <c r="C17" s="46"/>
      <c r="D17" s="54"/>
      <c r="E17" s="55"/>
      <c r="F17" s="56"/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s="10" customFormat="1" ht="20.100000000000001" hidden="1" customHeight="1" x14ac:dyDescent="0.3">
      <c r="A18" s="91" t="s">
        <v>0</v>
      </c>
      <c r="B18" s="93" t="s">
        <v>1</v>
      </c>
      <c r="C18" s="50" t="s">
        <v>838</v>
      </c>
      <c r="D18" s="51" t="s">
        <v>2</v>
      </c>
      <c r="E18" s="52" t="s">
        <v>3</v>
      </c>
      <c r="F18" s="53" t="s">
        <v>4</v>
      </c>
    </row>
    <row r="19" spans="1:24" ht="15" customHeight="1" x14ac:dyDescent="0.3">
      <c r="A19" s="91" t="str">
        <f>PROPER(TEXT(B19, "dddd"))</f>
        <v>Söndag</v>
      </c>
      <c r="B19" s="93">
        <f t="shared" ref="B19" si="6">Söndag32</f>
        <v>45879</v>
      </c>
      <c r="C19" s="46"/>
      <c r="D19" s="54"/>
      <c r="E19" s="55"/>
      <c r="F19" s="56"/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1" spans="1:24" ht="15" customHeight="1" x14ac:dyDescent="0.3">
      <c r="C21" s="46"/>
      <c r="D21" s="47"/>
    </row>
    <row r="22" spans="1:24" ht="15" customHeight="1" x14ac:dyDescent="0.3">
      <c r="C22" s="46"/>
      <c r="D22" s="8"/>
    </row>
    <row r="23" spans="1:24" ht="15" customHeight="1" x14ac:dyDescent="0.3">
      <c r="C23" s="46"/>
      <c r="D23" s="8"/>
    </row>
  </sheetData>
  <sheetProtection algorithmName="SHA-512" hashValue="xIyVFM8DaB4eUgHYweuQueX+XEM8EKtYrdD4f1swPMRux1k76/9ye9drmIr7/W54m5uSM4gb3d0nIuTdeM54jw==" saltValue="BwQ6kNRq0IKYtxrbBO9E2Q==" spinCount="100000" sheet="1" objects="1" scenarios="1" autoFilter="0" pivotTables="0"/>
  <conditionalFormatting sqref="A3:A4 A6:A9 A11 A13 A15 A17 A19">
    <cfRule type="cellIs" dxfId="1618" priority="1" operator="equal">
      <formula>"Datum"</formula>
    </cfRule>
    <cfRule type="cellIs" dxfId="1617" priority="2" operator="equal">
      <formula>"Dag"</formula>
    </cfRule>
    <cfRule type="expression" dxfId="1616" priority="4">
      <formula>OR(IF($A2="Dag",1))</formula>
    </cfRule>
  </conditionalFormatting>
  <conditionalFormatting sqref="A18">
    <cfRule type="expression" dxfId="1615" priority="22">
      <formula>OR(IF(#REF!="Dag",1))</formula>
    </cfRule>
  </conditionalFormatting>
  <conditionalFormatting sqref="A1:B2 B3:B4 A5:B5 B6:B9 A10:B10 B11 A12:B12 B13 A14:B14 B15 A16:B16 B17 A18:B18 B19 A20:B1048576">
    <cfRule type="cellIs" dxfId="1614" priority="14" operator="equal">
      <formula>"Datum"</formula>
    </cfRule>
    <cfRule type="cellIs" dxfId="1613" priority="15" operator="equal">
      <formula>"Dag"</formula>
    </cfRule>
  </conditionalFormatting>
  <conditionalFormatting sqref="B3:B4 B6:B9 B11 B13 B15 B17 B19">
    <cfRule type="expression" dxfId="1612" priority="21">
      <formula>OR(IF($B2="Datum",1))</formula>
    </cfRule>
  </conditionalFormatting>
  <conditionalFormatting sqref="C3:E19">
    <cfRule type="expression" dxfId="1611" priority="18">
      <formula>OR(IF($E3="Hela hallen",1))</formula>
    </cfRule>
  </conditionalFormatting>
  <conditionalFormatting sqref="L1:T1048576">
    <cfRule type="cellIs" dxfId="1610" priority="13" operator="equal">
      <formula>"-"</formula>
    </cfRule>
  </conditionalFormatting>
  <conditionalFormatting sqref="C3:F19">
    <cfRule type="expression" dxfId="1609" priority="2288">
      <formula>OR(IF(#REF!=TRUE,1))</formula>
    </cfRule>
  </conditionalFormatting>
  <conditionalFormatting sqref="A5 A10 A12 A14 A16">
    <cfRule type="expression" dxfId="1608" priority="2289">
      <formula>OR(IF(#REF!="Dag",1))</formula>
    </cfRule>
  </conditionalFormatting>
  <conditionalFormatting sqref="B5 B10 B12 B14 B16 B18">
    <cfRule type="expression" dxfId="1607" priority="2291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438D059-0D98-484B-B2A8-3E1B17D9FAE8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A3:B4 A6:B9 A11:B11 A13:B13 A15:B15 A17:B17 A19:B19</xm:sqref>
        </x14:conditionalFormatting>
        <x14:conditionalFormatting xmlns:xm="http://schemas.microsoft.com/office/excel/2006/main">
          <x14:cfRule type="expression" priority="2300" id="{5A2294D1-77A7-4352-BE0D-DAD4F87F95F2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 A10:B10 A12:B12 A14:B14 A16:B16 A18:B18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33A914A-C940-44DB-85CE-EDC81E49122A}">
          <x14:formula1>
            <xm:f>Listor!$A$2:$A$150</xm:f>
          </x14:formula1>
          <xm:sqref>E3:E4 E6:E9 E11 E13 E19 E17 E15</xm:sqref>
        </x14:dataValidation>
        <x14:dataValidation type="list" allowBlank="1" showInputMessage="1" showErrorMessage="1" xr:uid="{C77B5E58-0535-42EA-8E6A-A8EDDED76D56}">
          <x14:formula1>
            <xm:f>Kontaktuppgifter!$A$2:$A$300</xm:f>
          </x14:formula1>
          <xm:sqref>F3:F4 F6:F9 F11 F13 F19 F17 F15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DEB45-1CC8-4A75-B7A9-4B7560758A1C}">
  <sheetPr codeName="Blad34"/>
  <dimension ref="A1:Y19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Måndag33</f>
        <v>45880</v>
      </c>
      <c r="W1" s="39">
        <f>Söndag33</f>
        <v>45886</v>
      </c>
      <c r="X1" s="40">
        <f>WEEKNUM(Söndag33, 2)</f>
        <v>33</v>
      </c>
      <c r="Y1" s="41" t="str">
        <f>"V. "&amp;X1&amp;", "&amp;TEXT(V1,"D MMM")&amp;"-"&amp;TEXT(W1,"D MMM")</f>
        <v>V. 33, 11 aug-17 aug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Måndag33</f>
        <v>45880</v>
      </c>
      <c r="C3" s="46"/>
      <c r="D3" s="47"/>
      <c r="E3" s="48"/>
      <c r="F3" s="49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>PROPER(TEXT(B5, "dddd"))</f>
        <v>Tisdag</v>
      </c>
      <c r="B5" s="93">
        <f t="shared" ref="B5" si="1">Tisdag33</f>
        <v>45881</v>
      </c>
      <c r="C5" s="46"/>
      <c r="D5" s="54"/>
      <c r="E5" s="55"/>
      <c r="F5" s="56"/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</row>
    <row r="7" spans="1:25" ht="15" customHeight="1" x14ac:dyDescent="0.3">
      <c r="A7" s="91" t="str">
        <f>PROPER(TEXT(B7, "dddd"))</f>
        <v>Onsdag</v>
      </c>
      <c r="B7" s="93">
        <f t="shared" ref="B7" si="2">Onsdag33</f>
        <v>45882</v>
      </c>
      <c r="C7" s="46"/>
      <c r="D7" s="54"/>
      <c r="E7" s="55"/>
      <c r="F7" s="56"/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</row>
    <row r="9" spans="1:25" ht="15" customHeight="1" x14ac:dyDescent="0.3">
      <c r="A9" s="91" t="str">
        <f>PROPER(TEXT(B9, "dddd"))</f>
        <v>Torsdag</v>
      </c>
      <c r="B9" s="93">
        <f t="shared" ref="B9" si="3">Torsdag33</f>
        <v>45883</v>
      </c>
      <c r="C9" s="46"/>
      <c r="D9" s="54"/>
      <c r="E9" s="55"/>
      <c r="F9" s="56"/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91" t="s">
        <v>0</v>
      </c>
      <c r="B10" s="93" t="s">
        <v>1</v>
      </c>
      <c r="C10" s="50" t="s">
        <v>838</v>
      </c>
      <c r="D10" s="51" t="s">
        <v>2</v>
      </c>
      <c r="E10" s="52" t="s">
        <v>3</v>
      </c>
      <c r="F10" s="53" t="s">
        <v>4</v>
      </c>
    </row>
    <row r="11" spans="1:25" ht="15" customHeight="1" x14ac:dyDescent="0.3">
      <c r="A11" s="91" t="str">
        <f>PROPER(TEXT(B11, "dddd"))</f>
        <v>Fredag</v>
      </c>
      <c r="B11" s="93">
        <f t="shared" ref="B11" si="4">Fredag33</f>
        <v>45884</v>
      </c>
      <c r="C11" s="46"/>
      <c r="D11" s="54"/>
      <c r="E11" s="55"/>
      <c r="F11" s="56"/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>PROPER(TEXT(B13, "dddd"))</f>
        <v>Lördag</v>
      </c>
      <c r="B13" s="93">
        <f t="shared" ref="B13" si="5">Lördag33</f>
        <v>45885</v>
      </c>
      <c r="C13" s="46"/>
      <c r="D13" s="54"/>
      <c r="E13" s="55"/>
      <c r="F13" s="56"/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</row>
    <row r="15" spans="1:25" ht="15" customHeight="1" x14ac:dyDescent="0.3">
      <c r="A15" s="91" t="str">
        <f>PROPER(TEXT(B15, "dddd"))</f>
        <v>Söndag</v>
      </c>
      <c r="B15" s="93">
        <f t="shared" ref="B15" si="6">Söndag33</f>
        <v>45886</v>
      </c>
      <c r="C15" s="46"/>
      <c r="D15" s="54"/>
      <c r="E15" s="55"/>
      <c r="F15" s="56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6"/>
      <c r="D17" s="47"/>
    </row>
    <row r="18" spans="3:4" ht="15" customHeight="1" x14ac:dyDescent="0.3">
      <c r="C18" s="46"/>
      <c r="D18" s="8"/>
    </row>
    <row r="19" spans="3:4" ht="15" customHeight="1" x14ac:dyDescent="0.3">
      <c r="C19" s="46"/>
      <c r="D19" s="8"/>
    </row>
  </sheetData>
  <sheetProtection algorithmName="SHA-512" hashValue="EKOzkxFWfTdMSnbInK1czAk51A3hfUa9rDoH/MEE7z5oTNe4bCCkL+TTXmOXUrJRImPKVWstRUe+2HZO8oA29A==" saltValue="fwEOqJgRhAhXGUfIhyLe4w==" spinCount="100000" sheet="1" objects="1" scenarios="1" autoFilter="0" pivotTables="0"/>
  <conditionalFormatting sqref="A3 A5 A7 A9 A11 A13 A15">
    <cfRule type="cellIs" dxfId="1548" priority="1" operator="equal">
      <formula>"Datum"</formula>
    </cfRule>
    <cfRule type="cellIs" dxfId="1547" priority="2" operator="equal">
      <formula>"Dag"</formula>
    </cfRule>
    <cfRule type="expression" dxfId="1546" priority="4">
      <formula>OR(IF($A2="Dag",1))</formula>
    </cfRule>
  </conditionalFormatting>
  <conditionalFormatting sqref="A14">
    <cfRule type="expression" dxfId="1545" priority="22">
      <formula>OR(IF(#REF!="Dag",1))</formula>
    </cfRule>
  </conditionalFormatting>
  <conditionalFormatting sqref="A1:B2 B3 A4:B4 B5 A6:B6 B7 A8:B8 B9 A10:B10 B11 A12:B12 B13 A14:B14 B15 A16:B1048576">
    <cfRule type="cellIs" dxfId="1544" priority="14" operator="equal">
      <formula>"Datum"</formula>
    </cfRule>
    <cfRule type="cellIs" dxfId="1543" priority="15" operator="equal">
      <formula>"Dag"</formula>
    </cfRule>
  </conditionalFormatting>
  <conditionalFormatting sqref="B3 B5 B7 B9 B11 B13 B15">
    <cfRule type="expression" dxfId="1542" priority="21">
      <formula>OR(IF($B2="Datum",1))</formula>
    </cfRule>
  </conditionalFormatting>
  <conditionalFormatting sqref="C3:E15">
    <cfRule type="expression" dxfId="1541" priority="18">
      <formula>OR(IF($E3="Hela hallen",1))</formula>
    </cfRule>
  </conditionalFormatting>
  <conditionalFormatting sqref="L1:T1048576">
    <cfRule type="cellIs" dxfId="1540" priority="13" operator="equal">
      <formula>"-"</formula>
    </cfRule>
  </conditionalFormatting>
  <conditionalFormatting sqref="C3:F15">
    <cfRule type="expression" dxfId="1539" priority="2302">
      <formula>OR(IF(#REF!=TRUE,1))</formula>
    </cfRule>
  </conditionalFormatting>
  <conditionalFormatting sqref="A4 A6 A8 A10 A12">
    <cfRule type="expression" dxfId="1538" priority="2303">
      <formula>OR(IF(#REF!="Dag",1))</formula>
    </cfRule>
  </conditionalFormatting>
  <conditionalFormatting sqref="B4 B6 B8 B10 B12 B14">
    <cfRule type="expression" dxfId="1537" priority="2305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39F69AB-4F45-414C-A3F4-5DA074276772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A7:B7 A9:B9 A11:B11 A13:B13 A15:B15</xm:sqref>
        </x14:conditionalFormatting>
        <x14:conditionalFormatting xmlns:xm="http://schemas.microsoft.com/office/excel/2006/main">
          <x14:cfRule type="expression" priority="2314" id="{272A41F4-C7A7-47E9-9876-8ECC92E7C4F6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77468A-7384-407A-8E04-39A1C608B9C4}">
          <x14:formula1>
            <xm:f>Kontaktuppgifter!$A$2:$A$300</xm:f>
          </x14:formula1>
          <xm:sqref>F3 F5 F7 F9 F11 F13 F15</xm:sqref>
        </x14:dataValidation>
        <x14:dataValidation type="list" allowBlank="1" showInputMessage="1" showErrorMessage="1" xr:uid="{04ADBBF6-7924-4557-AB7D-7A46575D5F34}">
          <x14:formula1>
            <xm:f>Listor!$A$2:$A$150</xm:f>
          </x14:formula1>
          <xm:sqref>E3 E5 E7 E9 E11 E13 E15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F899-06FC-4565-A880-24A9981BF193}">
  <sheetPr codeName="Blad35"/>
  <dimension ref="A1:Y20"/>
  <sheetViews>
    <sheetView showGridLines="0" zoomScaleNormal="100" workbookViewId="0">
      <pane ySplit="2" topLeftCell="A24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Måndag34</f>
        <v>45887</v>
      </c>
      <c r="W1" s="39">
        <f>Söndag34</f>
        <v>45893</v>
      </c>
      <c r="X1" s="40">
        <f>WEEKNUM(Söndag34, 2)</f>
        <v>34</v>
      </c>
      <c r="Y1" s="41" t="str">
        <f>"V. "&amp;X1&amp;", "&amp;TEXT(V1,"D MMM")&amp;"-"&amp;TEXT(W1,"D MMM")</f>
        <v>V. 34, 18 aug-24 aug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Måndag34</f>
        <v>45887</v>
      </c>
      <c r="C3" s="46"/>
      <c r="D3" s="47"/>
      <c r="E3" s="48"/>
      <c r="F3" s="49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1">PROPER(TEXT(B5, "dddd"))</f>
        <v>Tisdag</v>
      </c>
      <c r="B5" s="93">
        <f t="shared" ref="B5" si="2">Tisdag34</f>
        <v>45888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/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91" t="s">
        <v>0</v>
      </c>
      <c r="B7" s="93" t="s">
        <v>1</v>
      </c>
      <c r="C7" s="50" t="s">
        <v>838</v>
      </c>
      <c r="D7" s="51" t="s">
        <v>2</v>
      </c>
      <c r="E7" s="52" t="s">
        <v>3</v>
      </c>
      <c r="F7" s="53" t="s">
        <v>4</v>
      </c>
    </row>
    <row r="8" spans="1:25" ht="15" customHeight="1" x14ac:dyDescent="0.3">
      <c r="A8" s="91" t="str">
        <f>PROPER(TEXT(B8, "dddd"))</f>
        <v>Onsdag</v>
      </c>
      <c r="B8" s="93">
        <f t="shared" ref="B8" si="3">Onsdag34</f>
        <v>45889</v>
      </c>
      <c r="C8" s="46"/>
      <c r="D8" s="54"/>
      <c r="E8" s="55"/>
      <c r="F8" s="56"/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</row>
    <row r="10" spans="1:25" ht="15" customHeight="1" x14ac:dyDescent="0.3">
      <c r="A10" s="91" t="str">
        <f t="shared" ref="A10" si="4">PROPER(TEXT(B10, "dddd"))</f>
        <v>Torsdag</v>
      </c>
      <c r="B10" s="93">
        <f t="shared" ref="B10" si="5">Torsdag34</f>
        <v>45890</v>
      </c>
      <c r="C10" s="46">
        <v>0.375</v>
      </c>
      <c r="D10" s="54">
        <v>0.4375</v>
      </c>
      <c r="E10" s="55"/>
      <c r="F10" s="56" t="s">
        <v>521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s="10" customFormat="1" ht="20.100000000000001" hidden="1" customHeight="1" x14ac:dyDescent="0.3">
      <c r="A11" s="91" t="s">
        <v>0</v>
      </c>
      <c r="B11" s="93" t="s">
        <v>1</v>
      </c>
      <c r="C11" s="50" t="s">
        <v>838</v>
      </c>
      <c r="D11" s="51" t="s">
        <v>2</v>
      </c>
      <c r="E11" s="52" t="s">
        <v>3</v>
      </c>
      <c r="F11" s="53" t="s">
        <v>4</v>
      </c>
    </row>
    <row r="12" spans="1:25" ht="15" customHeight="1" x14ac:dyDescent="0.3">
      <c r="A12" s="91" t="str">
        <f t="shared" ref="A12" si="6">PROPER(TEXT(B12, "dddd"))</f>
        <v>Fredag</v>
      </c>
      <c r="B12" s="93">
        <f t="shared" ref="B12" si="7">Fredag34</f>
        <v>45891</v>
      </c>
      <c r="C12" s="46">
        <v>0.375</v>
      </c>
      <c r="D12" s="54">
        <v>0.4375</v>
      </c>
      <c r="E12" s="55"/>
      <c r="F12" s="56" t="s">
        <v>521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s="10" customFormat="1" ht="20.100000000000001" hidden="1" customHeight="1" x14ac:dyDescent="0.3">
      <c r="A13" s="91" t="s">
        <v>0</v>
      </c>
      <c r="B13" s="93" t="s">
        <v>1</v>
      </c>
      <c r="C13" s="50" t="s">
        <v>838</v>
      </c>
      <c r="D13" s="51" t="s">
        <v>2</v>
      </c>
      <c r="E13" s="52" t="s">
        <v>3</v>
      </c>
      <c r="F13" s="53" t="s">
        <v>4</v>
      </c>
    </row>
    <row r="14" spans="1:25" ht="15" customHeight="1" x14ac:dyDescent="0.3">
      <c r="A14" s="91" t="str">
        <f>PROPER(TEXT(B14, "dddd"))</f>
        <v>Lördag</v>
      </c>
      <c r="B14" s="93">
        <f t="shared" ref="B14" si="8">Lördag34</f>
        <v>45892</v>
      </c>
      <c r="C14" s="46"/>
      <c r="D14" s="54"/>
      <c r="E14" s="55"/>
      <c r="F14" s="56"/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20.100000000000001" hidden="1" customHeight="1" x14ac:dyDescent="0.3">
      <c r="A15" s="91" t="s">
        <v>0</v>
      </c>
      <c r="B15" s="93" t="s">
        <v>1</v>
      </c>
      <c r="C15" s="50" t="s">
        <v>838</v>
      </c>
      <c r="D15" s="51" t="s">
        <v>2</v>
      </c>
      <c r="E15" s="52" t="s">
        <v>3</v>
      </c>
      <c r="F15" s="53" t="s">
        <v>4</v>
      </c>
    </row>
    <row r="16" spans="1:25" ht="15" customHeight="1" x14ac:dyDescent="0.3">
      <c r="A16" s="91" t="str">
        <f>PROPER(TEXT(B16, "dddd"))</f>
        <v>Söndag</v>
      </c>
      <c r="B16" s="93">
        <f t="shared" ref="B16" si="9">Söndag34</f>
        <v>45893</v>
      </c>
      <c r="C16" s="46"/>
      <c r="D16" s="54"/>
      <c r="E16" s="55"/>
      <c r="F16" s="56"/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8" spans="3:4" ht="15" customHeight="1" x14ac:dyDescent="0.3">
      <c r="C18" s="46"/>
      <c r="D18" s="47"/>
    </row>
    <row r="19" spans="3:4" ht="15" customHeight="1" x14ac:dyDescent="0.3">
      <c r="C19" s="46"/>
      <c r="D19" s="8"/>
    </row>
    <row r="20" spans="3:4" ht="15" customHeight="1" x14ac:dyDescent="0.3">
      <c r="C20" s="46"/>
      <c r="D20" s="8"/>
    </row>
  </sheetData>
  <sheetProtection algorithmName="SHA-512" hashValue="OKG7HH0t1ChwJxfZVKGJkSWhLhrIoTrS2Eo1nnYLZeZebl+9wkJx2yCnLe6YImLRjlpv/Hrkxt6wFLSd+GjB/g==" saltValue="bmTVNppk7FVJJyWlKmUYwg==" spinCount="100000" sheet="1" objects="1" scenarios="1" autoFilter="0" pivotTables="0"/>
  <sortState xmlns:xlrd2="http://schemas.microsoft.com/office/spreadsheetml/2017/richdata2" ref="A12:F12">
    <sortCondition ref="C12"/>
  </sortState>
  <conditionalFormatting sqref="A3 A5:A6 A8 A10 A12 A14 A16">
    <cfRule type="cellIs" dxfId="1478" priority="1" operator="equal">
      <formula>"Datum"</formula>
    </cfRule>
    <cfRule type="cellIs" dxfId="1477" priority="2" operator="equal">
      <formula>"Dag"</formula>
    </cfRule>
    <cfRule type="expression" dxfId="1476" priority="4">
      <formula>OR(IF($A2="Dag",1))</formula>
    </cfRule>
  </conditionalFormatting>
  <conditionalFormatting sqref="A15">
    <cfRule type="expression" dxfId="1475" priority="22">
      <formula>OR(IF(#REF!="Dag",1))</formula>
    </cfRule>
  </conditionalFormatting>
  <conditionalFormatting sqref="A1:B2 B3 A4:B4 B5:B6 A7:B7 B8 A9:B9 B10 A11:B11 B12 A13:B13 B14 A15:B15 B16 A17:B1048576">
    <cfRule type="cellIs" dxfId="1474" priority="14" operator="equal">
      <formula>"Datum"</formula>
    </cfRule>
    <cfRule type="cellIs" dxfId="1473" priority="15" operator="equal">
      <formula>"Dag"</formula>
    </cfRule>
  </conditionalFormatting>
  <conditionalFormatting sqref="B3 B5:B6 B8 B10 B12 B14 B16">
    <cfRule type="expression" dxfId="1472" priority="21">
      <formula>OR(IF($B2="Datum",1))</formula>
    </cfRule>
  </conditionalFormatting>
  <conditionalFormatting sqref="C3:E16">
    <cfRule type="expression" dxfId="1471" priority="18">
      <formula>OR(IF($E3="Hela hallen",1))</formula>
    </cfRule>
  </conditionalFormatting>
  <conditionalFormatting sqref="L1:T1048576">
    <cfRule type="cellIs" dxfId="1470" priority="13" operator="equal">
      <formula>"-"</formula>
    </cfRule>
  </conditionalFormatting>
  <conditionalFormatting sqref="C3:F16">
    <cfRule type="expression" dxfId="1469" priority="2316">
      <formula>OR(IF(#REF!=TRUE,1))</formula>
    </cfRule>
  </conditionalFormatting>
  <conditionalFormatting sqref="A4 A7 A9 A11 A13">
    <cfRule type="expression" dxfId="1468" priority="2317">
      <formula>OR(IF(#REF!="Dag",1))</formula>
    </cfRule>
  </conditionalFormatting>
  <conditionalFormatting sqref="B4 B7 B9 B11 B13 B15">
    <cfRule type="expression" dxfId="1467" priority="2319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2318485-1473-4471-8DF2-B7BC086C3281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A5:B6 A8:B8 A10:B10 A12:B12 A14:B14 A16:B16</xm:sqref>
        </x14:conditionalFormatting>
        <x14:conditionalFormatting xmlns:xm="http://schemas.microsoft.com/office/excel/2006/main">
          <x14:cfRule type="expression" priority="2328" id="{E91CB33D-BD88-4F40-9F00-F1998D019732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A7:B7 A9:B9 A11:B11 A13:B13 A15:B15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27FC54E-A678-4112-9F93-512F51B8E730}">
          <x14:formula1>
            <xm:f>Listor!$A$2:$A$150</xm:f>
          </x14:formula1>
          <xm:sqref>E3 E5:E6 E8 E10 E12 E14 E16</xm:sqref>
        </x14:dataValidation>
        <x14:dataValidation type="list" allowBlank="1" showInputMessage="1" showErrorMessage="1" xr:uid="{AA89E518-B254-4B00-B4EB-DC89A9742126}">
          <x14:formula1>
            <xm:f>Kontaktuppgifter!$A$2:$A$300</xm:f>
          </x14:formula1>
          <xm:sqref>F3 F5:F6 F8 F10 F12 F14 F16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9990-2AD0-45BE-84D9-91EFF0B0DE11}">
  <sheetPr codeName="Blad36"/>
  <dimension ref="A1:Y21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Måndag35</f>
        <v>45894</v>
      </c>
      <c r="W1" s="39">
        <f>Söndag35</f>
        <v>45900</v>
      </c>
      <c r="X1" s="40">
        <f>WEEKNUM(Söndag35, 2)</f>
        <v>35</v>
      </c>
      <c r="Y1" s="41" t="str">
        <f>"V. "&amp;X1&amp;", "&amp;TEXT(V1,"D MMM")&amp;"-"&amp;TEXT(W1,"D MMM")</f>
        <v>V. 35, 25 aug-31 aug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>PROPER(TEXT(B3, "dddd"))</f>
        <v>Måndag</v>
      </c>
      <c r="B3" s="92">
        <f t="shared" ref="B3" si="0">Måndag35</f>
        <v>45894</v>
      </c>
      <c r="C3" s="46"/>
      <c r="D3" s="47"/>
      <c r="E3" s="48"/>
      <c r="F3" s="49"/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1">PROPER(TEXT(B5, "dddd"))</f>
        <v>Tisdag</v>
      </c>
      <c r="B5" s="93">
        <f t="shared" ref="B5" si="2">Tisdag35</f>
        <v>45895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/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s="10" customFormat="1" ht="20.100000000000001" hidden="1" customHeight="1" x14ac:dyDescent="0.3">
      <c r="A7" s="91" t="s">
        <v>0</v>
      </c>
      <c r="B7" s="93" t="s">
        <v>1</v>
      </c>
      <c r="C7" s="50" t="s">
        <v>838</v>
      </c>
      <c r="D7" s="51" t="s">
        <v>2</v>
      </c>
      <c r="E7" s="52" t="s">
        <v>3</v>
      </c>
      <c r="F7" s="53" t="s">
        <v>4</v>
      </c>
    </row>
    <row r="8" spans="1:25" ht="15" customHeight="1" x14ac:dyDescent="0.3">
      <c r="A8" s="91" t="str">
        <f>PROPER(TEXT(B8, "dddd"))</f>
        <v>Onsdag</v>
      </c>
      <c r="B8" s="93">
        <f t="shared" ref="B8" si="3">Onsdag35</f>
        <v>45896</v>
      </c>
      <c r="C8" s="46"/>
      <c r="D8" s="54"/>
      <c r="E8" s="55"/>
      <c r="F8" s="56"/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</row>
    <row r="10" spans="1:25" ht="15" customHeight="1" x14ac:dyDescent="0.3">
      <c r="A10" s="91" t="str">
        <f t="shared" ref="A10" si="4">PROPER(TEXT(B10, "dddd"))</f>
        <v>Torsdag</v>
      </c>
      <c r="B10" s="93">
        <f t="shared" ref="B10" si="5">Torsdag35</f>
        <v>45897</v>
      </c>
      <c r="C10" s="46">
        <v>0.375</v>
      </c>
      <c r="D10" s="54">
        <v>0.4375</v>
      </c>
      <c r="E10" s="55"/>
      <c r="F10" s="56" t="s">
        <v>521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0.375</v>
      </c>
      <c r="D11" s="54">
        <v>0.54166666666666663</v>
      </c>
      <c r="E11" s="55" t="s">
        <v>128</v>
      </c>
      <c r="F11" s="56" t="s">
        <v>611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 t="shared" ref="A13" si="6">PROPER(TEXT(B13, "dddd"))</f>
        <v>Fredag</v>
      </c>
      <c r="B13" s="93">
        <f t="shared" ref="B13" si="7">Fredag35</f>
        <v>45898</v>
      </c>
      <c r="C13" s="46">
        <v>0.375</v>
      </c>
      <c r="D13" s="54">
        <v>0.4375</v>
      </c>
      <c r="E13" s="55"/>
      <c r="F13" s="56" t="s">
        <v>521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</row>
    <row r="15" spans="1:25" ht="15" customHeight="1" x14ac:dyDescent="0.3">
      <c r="A15" s="91" t="str">
        <f>PROPER(TEXT(B15, "dddd"))</f>
        <v>Lördag</v>
      </c>
      <c r="B15" s="93">
        <f t="shared" ref="B15" si="8">Lördag35</f>
        <v>45899</v>
      </c>
      <c r="C15" s="46"/>
      <c r="D15" s="54"/>
      <c r="E15" s="55"/>
      <c r="F15" s="56"/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s="10" customFormat="1" ht="20.100000000000001" hidden="1" customHeight="1" x14ac:dyDescent="0.3">
      <c r="A16" s="91" t="s">
        <v>0</v>
      </c>
      <c r="B16" s="93" t="s">
        <v>1</v>
      </c>
      <c r="C16" s="50" t="s">
        <v>838</v>
      </c>
      <c r="D16" s="51" t="s">
        <v>2</v>
      </c>
      <c r="E16" s="52" t="s">
        <v>3</v>
      </c>
      <c r="F16" s="53" t="s">
        <v>4</v>
      </c>
    </row>
    <row r="17" spans="1:24" ht="15" customHeight="1" x14ac:dyDescent="0.3">
      <c r="A17" s="91" t="str">
        <f>PROPER(TEXT(B17, "dddd"))</f>
        <v>Söndag</v>
      </c>
      <c r="B17" s="93">
        <f t="shared" ref="B17" si="9">Söndag35</f>
        <v>45900</v>
      </c>
      <c r="C17" s="46"/>
      <c r="D17" s="54"/>
      <c r="E17" s="55"/>
      <c r="F17" s="56"/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9" spans="1:24" ht="15" customHeight="1" x14ac:dyDescent="0.3">
      <c r="C19" s="46"/>
      <c r="D19" s="47"/>
    </row>
    <row r="20" spans="1:24" ht="15" customHeight="1" x14ac:dyDescent="0.3">
      <c r="C20" s="46"/>
      <c r="D20" s="8"/>
    </row>
    <row r="21" spans="1:24" ht="15" customHeight="1" x14ac:dyDescent="0.3">
      <c r="C21" s="46"/>
      <c r="D21" s="8"/>
    </row>
  </sheetData>
  <sheetProtection algorithmName="SHA-512" hashValue="M2Nl0Sk5rdOGI97W0WhjP6dYlVPEVqG0ytu2oD2pjipmFAUSGkqTSdZvGF3uooUF55ZU0q/+BkLdi6j/FwiH2w==" saltValue="SBpT7JQKOd385pEnFSXz/g==" spinCount="100000" sheet="1" objects="1" scenarios="1" autoFilter="0" pivotTables="0"/>
  <sortState xmlns:xlrd2="http://schemas.microsoft.com/office/spreadsheetml/2017/richdata2" ref="A13:F13">
    <sortCondition ref="C13"/>
  </sortState>
  <conditionalFormatting sqref="A3 A5:A6 A8 A10:A11 A13 A15 A17">
    <cfRule type="cellIs" dxfId="1408" priority="1" operator="equal">
      <formula>"Datum"</formula>
    </cfRule>
    <cfRule type="cellIs" dxfId="1407" priority="2" operator="equal">
      <formula>"Dag"</formula>
    </cfRule>
    <cfRule type="expression" dxfId="1406" priority="4">
      <formula>OR(IF($A2="Dag",1))</formula>
    </cfRule>
  </conditionalFormatting>
  <conditionalFormatting sqref="A16">
    <cfRule type="expression" dxfId="1405" priority="22">
      <formula>OR(IF(#REF!="Dag",1))</formula>
    </cfRule>
  </conditionalFormatting>
  <conditionalFormatting sqref="A1:B2 B3 A4:B4 B5:B6 A7:B7 B8 A9:B9 B10:B11 A12:B12 B13 A14:B14 B15 A16:B16 B17 A18:B1048576">
    <cfRule type="cellIs" dxfId="1404" priority="14" operator="equal">
      <formula>"Datum"</formula>
    </cfRule>
    <cfRule type="cellIs" dxfId="1403" priority="15" operator="equal">
      <formula>"Dag"</formula>
    </cfRule>
  </conditionalFormatting>
  <conditionalFormatting sqref="B3 B5:B6 B8 B10:B11 B13 B15 B17">
    <cfRule type="expression" dxfId="1402" priority="21">
      <formula>OR(IF($B2="Datum",1))</formula>
    </cfRule>
  </conditionalFormatting>
  <conditionalFormatting sqref="C3:E17">
    <cfRule type="expression" dxfId="1401" priority="18">
      <formula>OR(IF($E3="Hela hallen",1))</formula>
    </cfRule>
  </conditionalFormatting>
  <conditionalFormatting sqref="L1:T1048576">
    <cfRule type="cellIs" dxfId="1400" priority="13" operator="equal">
      <formula>"-"</formula>
    </cfRule>
  </conditionalFormatting>
  <conditionalFormatting sqref="C3:F17">
    <cfRule type="expression" dxfId="1399" priority="2330">
      <formula>OR(IF(#REF!=TRUE,1))</formula>
    </cfRule>
  </conditionalFormatting>
  <conditionalFormatting sqref="A4 A7 A9 A12 A14">
    <cfRule type="expression" dxfId="1398" priority="2331">
      <formula>OR(IF(#REF!="Dag",1))</formula>
    </cfRule>
  </conditionalFormatting>
  <conditionalFormatting sqref="B4 B7 B9 B12 B14 B16">
    <cfRule type="expression" dxfId="1397" priority="2333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981B0A-1A47-4F73-9519-76BCE680F4E5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A5:B6 A8:B8 A10:B11 A13:B13 A15:B15 A17:B17</xm:sqref>
        </x14:conditionalFormatting>
        <x14:conditionalFormatting xmlns:xm="http://schemas.microsoft.com/office/excel/2006/main">
          <x14:cfRule type="expression" priority="2342" id="{4259513A-0823-4727-997D-021005876AA3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A7:B7 A9:B9 A12:B12 A14:B14 A16:B16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A312BF-A024-4A1E-9438-4A388A2E0847}">
          <x14:formula1>
            <xm:f>Kontaktuppgifter!$A$2:$A$300</xm:f>
          </x14:formula1>
          <xm:sqref>F3 F5:F6 F8 F10:F11 F13 F15 F17</xm:sqref>
        </x14:dataValidation>
        <x14:dataValidation type="list" allowBlank="1" showInputMessage="1" showErrorMessage="1" xr:uid="{45C4E702-A330-4A80-AF56-67CDC2C35C2B}">
          <x14:formula1>
            <xm:f>Listor!$A$2:$A$150</xm:f>
          </x14:formula1>
          <xm:sqref>E3 E5:E6 E8 E10:E11 E13 E15 E17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4AF8-6588-4904-8B47-E08D0E1ADC1A}">
  <sheetPr codeName="Blad37"/>
  <dimension ref="A1:Y24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Måndag36</f>
        <v>45901</v>
      </c>
      <c r="W1" s="39">
        <f>Söndag36</f>
        <v>45907</v>
      </c>
      <c r="X1" s="40">
        <f>WEEKNUM(Söndag36, 2)</f>
        <v>36</v>
      </c>
      <c r="Y1" s="41" t="str">
        <f>"V. "&amp;X1&amp;", "&amp;TEXT(V1,"D MMM")&amp;"-"&amp;TEXT(W1,"D MMM")</f>
        <v>V. 36, 1 sep-7 sep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Måndag36</f>
        <v>45901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2">PROPER(TEXT(B5, "dddd"))</f>
        <v>Tisdag</v>
      </c>
      <c r="B5" s="93">
        <f t="shared" ref="B5" si="3">Tisdag36</f>
        <v>45902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/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0.70833333333333337</v>
      </c>
      <c r="D7" s="54">
        <v>0.83333333333333337</v>
      </c>
      <c r="E7" s="55"/>
      <c r="F7" s="56" t="s">
        <v>887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</row>
    <row r="9" spans="1:25" ht="15" customHeight="1" x14ac:dyDescent="0.3">
      <c r="A9" s="91" t="str">
        <f t="shared" ref="A9" si="4">PROPER(TEXT(B9, "dddd"))</f>
        <v>Onsdag</v>
      </c>
      <c r="B9" s="93">
        <f t="shared" ref="B9" si="5">Onsdag36</f>
        <v>45903</v>
      </c>
      <c r="C9" s="46">
        <v>0.375</v>
      </c>
      <c r="D9" s="54">
        <v>0.54166666666666663</v>
      </c>
      <c r="E9" s="55" t="s">
        <v>117</v>
      </c>
      <c r="F9" s="56" t="s">
        <v>611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0.41666666666666669</v>
      </c>
      <c r="D10" s="54">
        <v>0.5</v>
      </c>
      <c r="E10" s="55"/>
      <c r="F10" s="56" t="s">
        <v>657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0.70833333333333337</v>
      </c>
      <c r="D11" s="54">
        <v>0.83333333333333337</v>
      </c>
      <c r="E11" s="55"/>
      <c r="F11" s="56" t="s">
        <v>887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 t="shared" ref="A13" si="6">PROPER(TEXT(B13, "dddd"))</f>
        <v>Torsdag</v>
      </c>
      <c r="B13" s="93">
        <f t="shared" ref="B13" si="7">Torsdag36</f>
        <v>45904</v>
      </c>
      <c r="C13" s="46">
        <v>0.375</v>
      </c>
      <c r="D13" s="54">
        <v>0.4375</v>
      </c>
      <c r="E13" s="55"/>
      <c r="F13" s="56" t="s">
        <v>521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0.70833333333333337</v>
      </c>
      <c r="D14" s="54">
        <v>0.83333333333333337</v>
      </c>
      <c r="E14" s="55"/>
      <c r="F14" s="56" t="s">
        <v>887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s="10" customFormat="1" ht="20.100000000000001" hidden="1" customHeight="1" x14ac:dyDescent="0.3">
      <c r="A15" s="91" t="s">
        <v>0</v>
      </c>
      <c r="B15" s="93" t="s">
        <v>1</v>
      </c>
      <c r="C15" s="50" t="s">
        <v>838</v>
      </c>
      <c r="D15" s="51" t="s">
        <v>2</v>
      </c>
      <c r="E15" s="52" t="s">
        <v>3</v>
      </c>
      <c r="F15" s="53" t="s">
        <v>4</v>
      </c>
    </row>
    <row r="16" spans="1:25" ht="15" customHeight="1" x14ac:dyDescent="0.3">
      <c r="A16" s="91" t="str">
        <f t="shared" ref="A16" si="8">PROPER(TEXT(B16, "dddd"))</f>
        <v>Fredag</v>
      </c>
      <c r="B16" s="93">
        <f t="shared" ref="B16" si="9">Fredag36</f>
        <v>45905</v>
      </c>
      <c r="C16" s="46">
        <v>0.375</v>
      </c>
      <c r="D16" s="54">
        <v>0.4375</v>
      </c>
      <c r="E16" s="55"/>
      <c r="F16" s="56" t="s">
        <v>521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s="10" customFormat="1" ht="20.100000000000001" hidden="1" customHeight="1" x14ac:dyDescent="0.3">
      <c r="A17" s="91" t="s">
        <v>0</v>
      </c>
      <c r="B17" s="93" t="s">
        <v>1</v>
      </c>
      <c r="C17" s="50" t="s">
        <v>838</v>
      </c>
      <c r="D17" s="51" t="s">
        <v>2</v>
      </c>
      <c r="E17" s="52" t="s">
        <v>3</v>
      </c>
      <c r="F17" s="53" t="s">
        <v>4</v>
      </c>
    </row>
    <row r="18" spans="1:24" ht="15" customHeight="1" x14ac:dyDescent="0.3">
      <c r="A18" s="91" t="str">
        <f t="shared" ref="A18" si="10">PROPER(TEXT(B18, "dddd"))</f>
        <v>Lördag</v>
      </c>
      <c r="B18" s="93">
        <f t="shared" ref="B18" si="11">Lördag36</f>
        <v>45906</v>
      </c>
      <c r="C18" s="46">
        <v>0.375</v>
      </c>
      <c r="D18" s="54">
        <v>0.625</v>
      </c>
      <c r="E18" s="55"/>
      <c r="F18" s="56" t="s">
        <v>887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s="10" customFormat="1" ht="20.100000000000001" hidden="1" customHeight="1" x14ac:dyDescent="0.3">
      <c r="A19" s="91" t="s">
        <v>0</v>
      </c>
      <c r="B19" s="93" t="s">
        <v>1</v>
      </c>
      <c r="C19" s="50" t="s">
        <v>838</v>
      </c>
      <c r="D19" s="51" t="s">
        <v>2</v>
      </c>
      <c r="E19" s="52" t="s">
        <v>3</v>
      </c>
      <c r="F19" s="53" t="s">
        <v>4</v>
      </c>
    </row>
    <row r="20" spans="1:24" ht="15" customHeight="1" x14ac:dyDescent="0.3">
      <c r="A20" s="91" t="str">
        <f t="shared" ref="A20" si="12">PROPER(TEXT(B20, "dddd"))</f>
        <v>Söndag</v>
      </c>
      <c r="B20" s="93">
        <f t="shared" ref="B20" si="13">Söndag36</f>
        <v>45907</v>
      </c>
      <c r="C20" s="46">
        <v>0.375</v>
      </c>
      <c r="D20" s="54">
        <v>0.79166666666666663</v>
      </c>
      <c r="E20" s="55"/>
      <c r="F20" s="56" t="s">
        <v>887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2" spans="1:24" ht="15" customHeight="1" x14ac:dyDescent="0.3">
      <c r="C22" s="46"/>
      <c r="D22" s="47"/>
    </row>
    <row r="23" spans="1:24" ht="15" customHeight="1" x14ac:dyDescent="0.3">
      <c r="C23" s="46"/>
      <c r="D23" s="8"/>
    </row>
    <row r="24" spans="1:24" ht="15" customHeight="1" x14ac:dyDescent="0.3">
      <c r="C24" s="46"/>
      <c r="D24" s="8"/>
    </row>
  </sheetData>
  <sheetProtection algorithmName="SHA-512" hashValue="iu04HlamlJmtAZUfBrPt6GCkwZ2NghdAyYVprcS+v902erJh4pMtKgoLbh1d3NPfQjj13p6Hu05LtZaRTJncKw==" saltValue="bm7Hlzhq9bCdBeI/ppufKA==" spinCount="100000" sheet="1" objects="1" scenarios="1" autoFilter="0" pivotTables="0"/>
  <sortState xmlns:xlrd2="http://schemas.microsoft.com/office/spreadsheetml/2017/richdata2" ref="A9:F11">
    <sortCondition ref="C9:C11"/>
  </sortState>
  <conditionalFormatting sqref="A3 A5:A7 A9:A11 A13:A14 A16 A18 A20">
    <cfRule type="cellIs" dxfId="1338" priority="1" operator="equal">
      <formula>"Datum"</formula>
    </cfRule>
    <cfRule type="cellIs" dxfId="1337" priority="2" operator="equal">
      <formula>"Dag"</formula>
    </cfRule>
    <cfRule type="expression" dxfId="1336" priority="4">
      <formula>OR(IF($A2="Dag",1))</formula>
    </cfRule>
  </conditionalFormatting>
  <conditionalFormatting sqref="A19">
    <cfRule type="expression" dxfId="1335" priority="22">
      <formula>OR(IF(#REF!="Dag",1))</formula>
    </cfRule>
  </conditionalFormatting>
  <conditionalFormatting sqref="A1:B2 B3 A4:B4 B5:B7 A8:B8 B9:B11 A12:B12 B13:B14 A15:B15 B16 A17:B17 B18 A19:B19 B20 A21:B1048576">
    <cfRule type="cellIs" dxfId="1334" priority="14" operator="equal">
      <formula>"Datum"</formula>
    </cfRule>
    <cfRule type="cellIs" dxfId="1333" priority="15" operator="equal">
      <formula>"Dag"</formula>
    </cfRule>
  </conditionalFormatting>
  <conditionalFormatting sqref="B3 B5:B7 B9:B11 B13:B14 B16 B18 B20">
    <cfRule type="expression" dxfId="1332" priority="21">
      <formula>OR(IF($B2="Datum",1))</formula>
    </cfRule>
  </conditionalFormatting>
  <conditionalFormatting sqref="C3:E20">
    <cfRule type="expression" dxfId="1331" priority="18">
      <formula>OR(IF($E3="Hela hallen",1))</formula>
    </cfRule>
  </conditionalFormatting>
  <conditionalFormatting sqref="L1:T1048576">
    <cfRule type="cellIs" dxfId="1330" priority="13" operator="equal">
      <formula>"-"</formula>
    </cfRule>
  </conditionalFormatting>
  <conditionalFormatting sqref="C3:F20">
    <cfRule type="expression" dxfId="1329" priority="2344">
      <formula>OR(IF(#REF!=TRUE,1))</formula>
    </cfRule>
  </conditionalFormatting>
  <conditionalFormatting sqref="A4 A8 A12 A15 A17">
    <cfRule type="expression" dxfId="1328" priority="2345">
      <formula>OR(IF(#REF!="Dag",1))</formula>
    </cfRule>
  </conditionalFormatting>
  <conditionalFormatting sqref="B4 B8 B12 B15 B17 B19">
    <cfRule type="expression" dxfId="1327" priority="2347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4EF3ABE-CBC9-4D66-BB50-B7063D9B60B8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A5:B7 A9:B11 A13:B14 A16:B16 A18:B18 A20:B20</xm:sqref>
        </x14:conditionalFormatting>
        <x14:conditionalFormatting xmlns:xm="http://schemas.microsoft.com/office/excel/2006/main">
          <x14:cfRule type="expression" priority="2356" id="{A9A6C7B5-F0E7-4539-9574-CDF086275635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A8:B8 A12:B12 A15:B15 A17:B17 A19:B19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979102-3E0B-4D5C-95CE-E42FA77532F8}">
          <x14:formula1>
            <xm:f>Listor!$A$2:$A$150</xm:f>
          </x14:formula1>
          <xm:sqref>E3 E5:E7 E9:E11 E13:E14 E16 E18 E20</xm:sqref>
        </x14:dataValidation>
        <x14:dataValidation type="list" allowBlank="1" showInputMessage="1" showErrorMessage="1" xr:uid="{573B29FD-5469-43A7-999F-8638A292E22A}">
          <x14:formula1>
            <xm:f>Kontaktuppgifter!$A$2:$A$300</xm:f>
          </x14:formula1>
          <xm:sqref>F3 F5:F7 F9:F11 F13:F14 F16 F18 F20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8ED6-E83A-4CCE-9FEE-37B22687EFC2}">
  <sheetPr codeName="Blad38"/>
  <dimension ref="A1:Y32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Måndag37</f>
        <v>45908</v>
      </c>
      <c r="W1" s="39">
        <f>Söndag37</f>
        <v>45914</v>
      </c>
      <c r="X1" s="40">
        <f>WEEKNUM(Söndag37, 2)</f>
        <v>37</v>
      </c>
      <c r="Y1" s="41" t="str">
        <f>"V. "&amp;X1&amp;", "&amp;TEXT(V1,"D MMM")&amp;"-"&amp;TEXT(W1,"D MMM")</f>
        <v>V. 37, 8 sep-14 sep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Måndag37</f>
        <v>45908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2">PROPER(TEXT(B5, "dddd"))</f>
        <v>Tisdag</v>
      </c>
      <c r="B5" s="93">
        <f t="shared" ref="B5" si="3">Tisdag37</f>
        <v>45909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/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0.5625</v>
      </c>
      <c r="D7" s="54">
        <v>0.64583333333333337</v>
      </c>
      <c r="E7" s="55"/>
      <c r="F7" s="56" t="s">
        <v>601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0.70833333333333337</v>
      </c>
      <c r="D8" s="54">
        <v>0.83333333333333337</v>
      </c>
      <c r="E8" s="55"/>
      <c r="F8" s="56" t="s">
        <v>887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</row>
    <row r="10" spans="1:25" ht="15" customHeight="1" x14ac:dyDescent="0.3">
      <c r="A10" s="91" t="str">
        <f t="shared" ref="A10" si="4">PROPER(TEXT(B10, "dddd"))</f>
        <v>Onsdag</v>
      </c>
      <c r="B10" s="93">
        <f t="shared" ref="B10" si="5">Onsdag37</f>
        <v>45910</v>
      </c>
      <c r="C10" s="46">
        <v>0.375</v>
      </c>
      <c r="D10" s="54">
        <v>0.45833333333333331</v>
      </c>
      <c r="E10" s="55"/>
      <c r="F10" s="56" t="s">
        <v>752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0.41666666666666669</v>
      </c>
      <c r="D11" s="54">
        <v>0.5</v>
      </c>
      <c r="E11" s="55"/>
      <c r="F11" s="56" t="s">
        <v>657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0.55555555555555558</v>
      </c>
      <c r="D12" s="54">
        <v>0.63888888888888884</v>
      </c>
      <c r="E12" s="55"/>
      <c r="F12" s="56" t="s">
        <v>28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0.55555555555555558</v>
      </c>
      <c r="D13" s="54">
        <v>0.63888888888888884</v>
      </c>
      <c r="E13" s="55"/>
      <c r="F13" s="56" t="s">
        <v>791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0.70833333333333337</v>
      </c>
      <c r="D14" s="54">
        <v>0.83333333333333337</v>
      </c>
      <c r="E14" s="55"/>
      <c r="F14" s="56" t="s">
        <v>887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hidden="1" customHeight="1" x14ac:dyDescent="0.3">
      <c r="A15" s="91" t="s">
        <v>0</v>
      </c>
      <c r="B15" s="93" t="s">
        <v>1</v>
      </c>
      <c r="C15" s="50" t="s">
        <v>838</v>
      </c>
      <c r="D15" s="51" t="s">
        <v>2</v>
      </c>
      <c r="E15" s="52" t="s">
        <v>3</v>
      </c>
      <c r="F15" s="53" t="s">
        <v>4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 t="str">
        <f t="shared" ref="A16" si="6">PROPER(TEXT(B16, "dddd"))</f>
        <v>Torsdag</v>
      </c>
      <c r="B16" s="93">
        <f t="shared" ref="B16" si="7">Torsdag37</f>
        <v>45911</v>
      </c>
      <c r="C16" s="46">
        <v>0.375</v>
      </c>
      <c r="D16" s="54">
        <v>0.4375</v>
      </c>
      <c r="E16" s="55"/>
      <c r="F16" s="56" t="s">
        <v>521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0.41666666666666669</v>
      </c>
      <c r="D17" s="54">
        <v>0.5</v>
      </c>
      <c r="E17" s="55"/>
      <c r="F17" s="56" t="s">
        <v>252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0.5625</v>
      </c>
      <c r="D18" s="54">
        <v>0.64583333333333337</v>
      </c>
      <c r="E18" s="55"/>
      <c r="F18" s="56" t="s">
        <v>230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0.70833333333333337</v>
      </c>
      <c r="D19" s="54">
        <v>0.83333333333333337</v>
      </c>
      <c r="E19" s="55"/>
      <c r="F19" s="56" t="s">
        <v>887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hidden="1" customHeight="1" x14ac:dyDescent="0.3">
      <c r="A20" s="91" t="s">
        <v>0</v>
      </c>
      <c r="B20" s="93" t="s">
        <v>1</v>
      </c>
      <c r="C20" s="50" t="s">
        <v>838</v>
      </c>
      <c r="D20" s="51" t="s">
        <v>2</v>
      </c>
      <c r="E20" s="52" t="s">
        <v>3</v>
      </c>
      <c r="F20" s="53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 t="str">
        <f t="shared" ref="A21" si="8">PROPER(TEXT(B21, "dddd"))</f>
        <v>Fredag</v>
      </c>
      <c r="B21" s="93">
        <f t="shared" ref="B21" si="9">Fredag37</f>
        <v>45912</v>
      </c>
      <c r="C21" s="46">
        <v>0.375</v>
      </c>
      <c r="D21" s="54">
        <v>0.4375</v>
      </c>
      <c r="E21" s="55"/>
      <c r="F21" s="56" t="s">
        <v>521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0.41666666666666669</v>
      </c>
      <c r="D22" s="54">
        <v>0.5</v>
      </c>
      <c r="E22" s="55"/>
      <c r="F22" s="56" t="s">
        <v>643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0.45833333333333331</v>
      </c>
      <c r="D23" s="54">
        <v>0.54166666666666663</v>
      </c>
      <c r="E23" s="55"/>
      <c r="F23" s="56" t="s">
        <v>815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0.70833333333333337</v>
      </c>
      <c r="D24" s="54">
        <v>0.83333333333333337</v>
      </c>
      <c r="E24" s="55"/>
      <c r="F24" s="56" t="s">
        <v>887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hidden="1" customHeight="1" x14ac:dyDescent="0.3">
      <c r="A25" s="91" t="s">
        <v>0</v>
      </c>
      <c r="B25" s="93" t="s">
        <v>1</v>
      </c>
      <c r="C25" s="50" t="s">
        <v>838</v>
      </c>
      <c r="D25" s="51" t="s">
        <v>2</v>
      </c>
      <c r="E25" s="52" t="s">
        <v>3</v>
      </c>
      <c r="F25" s="53" t="s">
        <v>4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 t="str">
        <f t="shared" ref="A26" si="10">PROPER(TEXT(B26, "dddd"))</f>
        <v>Lördag</v>
      </c>
      <c r="B26" s="93">
        <f t="shared" ref="B26" si="11">Lördag37</f>
        <v>45913</v>
      </c>
      <c r="C26" s="46">
        <v>0.375</v>
      </c>
      <c r="D26" s="54">
        <v>0.625</v>
      </c>
      <c r="E26" s="55"/>
      <c r="F26" s="56" t="s">
        <v>887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hidden="1" customHeight="1" x14ac:dyDescent="0.3">
      <c r="A27" s="91" t="s">
        <v>0</v>
      </c>
      <c r="B27" s="93" t="s">
        <v>1</v>
      </c>
      <c r="C27" s="50" t="s">
        <v>838</v>
      </c>
      <c r="D27" s="51" t="s">
        <v>2</v>
      </c>
      <c r="E27" s="52" t="s">
        <v>3</v>
      </c>
      <c r="F27" s="53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 t="str">
        <f t="shared" ref="A28" si="12">PROPER(TEXT(B28, "dddd"))</f>
        <v>Söndag</v>
      </c>
      <c r="B28" s="93">
        <f t="shared" ref="B28" si="13">Söndag37</f>
        <v>45914</v>
      </c>
      <c r="C28" s="46">
        <v>0.375</v>
      </c>
      <c r="D28" s="54">
        <v>0.79166666666666663</v>
      </c>
      <c r="E28" s="55"/>
      <c r="F28" s="56" t="s">
        <v>887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30" spans="1:24" ht="15" customHeight="1" x14ac:dyDescent="0.3">
      <c r="C30" s="46"/>
      <c r="D30" s="47"/>
    </row>
    <row r="31" spans="1:24" ht="15" customHeight="1" x14ac:dyDescent="0.3">
      <c r="C31" s="46"/>
      <c r="D31" s="8"/>
    </row>
    <row r="32" spans="1:24" ht="15" customHeight="1" x14ac:dyDescent="0.3">
      <c r="C32" s="46"/>
      <c r="D32" s="8"/>
    </row>
  </sheetData>
  <sheetProtection algorithmName="SHA-512" hashValue="UV/yUwaC6PNX+EqIXexqBzjPa3+sm3S4YvOCKDsE30Shq9kXcfJed2yr7zglw4xaSe4IIHmcwkYq8TcOL3cl6A==" saltValue="44PJZwTeviLB9rUvSuiFig==" spinCount="100000" sheet="1" objects="1" scenarios="1" autoFilter="0" pivotTables="0"/>
  <sortState xmlns:xlrd2="http://schemas.microsoft.com/office/spreadsheetml/2017/richdata2" ref="A10:F14">
    <sortCondition ref="C10:C14"/>
  </sortState>
  <conditionalFormatting sqref="A3 A5:A8 A16:A19 A21:A24 A26 A28 A10:A14">
    <cfRule type="cellIs" dxfId="1268" priority="1" operator="equal">
      <formula>"Datum"</formula>
    </cfRule>
    <cfRule type="cellIs" dxfId="1267" priority="2" operator="equal">
      <formula>"Dag"</formula>
    </cfRule>
    <cfRule type="expression" dxfId="1266" priority="4">
      <formula>OR(IF($A2="Dag",1))</formula>
    </cfRule>
  </conditionalFormatting>
  <conditionalFormatting sqref="A27">
    <cfRule type="expression" dxfId="1265" priority="22">
      <formula>OR(IF(#REF!="Dag",1))</formula>
    </cfRule>
  </conditionalFormatting>
  <conditionalFormatting sqref="A1:B2 B3 A4:B4 B5:B8 A9:B9 A15:B15 B16:B19 A20:B20 B21:B24 A25:B25 B26 A27:B27 B28 A29:B1048576 B10:B14">
    <cfRule type="cellIs" dxfId="1264" priority="14" operator="equal">
      <formula>"Datum"</formula>
    </cfRule>
    <cfRule type="cellIs" dxfId="1263" priority="15" operator="equal">
      <formula>"Dag"</formula>
    </cfRule>
  </conditionalFormatting>
  <conditionalFormatting sqref="B3 B5:B8 B10:B14 B16:B19 B21:B24 B26 B28">
    <cfRule type="expression" dxfId="1262" priority="21">
      <formula>OR(IF($B2="Datum",1))</formula>
    </cfRule>
  </conditionalFormatting>
  <conditionalFormatting sqref="C3:E28">
    <cfRule type="expression" dxfId="1261" priority="18">
      <formula>OR(IF($E3="Hela hallen",1))</formula>
    </cfRule>
  </conditionalFormatting>
  <conditionalFormatting sqref="L1:T1048576">
    <cfRule type="cellIs" dxfId="1260" priority="13" operator="equal">
      <formula>"-"</formula>
    </cfRule>
  </conditionalFormatting>
  <conditionalFormatting sqref="A15 A20 A25">
    <cfRule type="expression" dxfId="1259" priority="1132">
      <formula>OR(IF(#REF!="Dag",1))</formula>
    </cfRule>
  </conditionalFormatting>
  <conditionalFormatting sqref="B15 B20 B25 B27">
    <cfRule type="expression" dxfId="1258" priority="1136">
      <formula>OR(IF(#REF!="Datum",1))</formula>
    </cfRule>
  </conditionalFormatting>
  <conditionalFormatting sqref="C3:F28">
    <cfRule type="expression" dxfId="1257" priority="2358">
      <formula>OR(IF(#REF!=TRUE,1))</formula>
    </cfRule>
  </conditionalFormatting>
  <conditionalFormatting sqref="A4 A9">
    <cfRule type="expression" dxfId="1256" priority="2359">
      <formula>OR(IF(#REF!="Dag",1))</formula>
    </cfRule>
  </conditionalFormatting>
  <conditionalFormatting sqref="B4 B9">
    <cfRule type="expression" dxfId="1255" priority="2361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5D1053A-FA3D-475F-95AE-ADBC1DD87C32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A5:B8 A10:B14 A16:B19 A21:B24 A26:B26 A28:B28</xm:sqref>
        </x14:conditionalFormatting>
        <x14:conditionalFormatting xmlns:xm="http://schemas.microsoft.com/office/excel/2006/main">
          <x14:cfRule type="expression" priority="2370" id="{37EE21CF-E033-4D7A-A219-BBAE38DBA8EC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A9:B9 A15:B15 A20:B20 A25:B25 A27:B27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F977CD-53F6-45FD-A32A-8FB1841797EC}">
          <x14:formula1>
            <xm:f>Kontaktuppgifter!$A$2:$A$300</xm:f>
          </x14:formula1>
          <xm:sqref>F3 F5:F8 F16:F19 F21:F24 F26 F28 F10:F14</xm:sqref>
        </x14:dataValidation>
        <x14:dataValidation type="list" allowBlank="1" showInputMessage="1" showErrorMessage="1" xr:uid="{075F29EE-983F-44A4-8AED-143D783D849A}">
          <x14:formula1>
            <xm:f>Listor!$A$2:$A$150</xm:f>
          </x14:formula1>
          <xm:sqref>E3 E5:E8 E16:E19 E21:E24 E26 E28 E10:E14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20491-7AC1-4D93-942A-6A3ECC691E41}">
  <sheetPr codeName="Blad39"/>
  <dimension ref="A1:Y37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Måndag38</f>
        <v>45915</v>
      </c>
      <c r="W1" s="39">
        <f>Söndag38</f>
        <v>45921</v>
      </c>
      <c r="X1" s="40">
        <f>WEEKNUM(Söndag38, 2)</f>
        <v>38</v>
      </c>
      <c r="Y1" s="41" t="str">
        <f>"V. "&amp;X1&amp;", "&amp;TEXT(V1,"D MMM")&amp;"-"&amp;TEXT(W1,"D MMM")</f>
        <v>V. 38, 15 sep-21 sep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Måndag38</f>
        <v>45915</v>
      </c>
      <c r="C3" s="46">
        <v>0.35416666666666669</v>
      </c>
      <c r="D3" s="47">
        <v>0.39583333333333331</v>
      </c>
      <c r="E3" s="48" t="s">
        <v>128</v>
      </c>
      <c r="F3" s="49" t="s">
        <v>467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0.70833333333333337</v>
      </c>
      <c r="D4" s="47">
        <v>0.83333333333333337</v>
      </c>
      <c r="E4" s="48"/>
      <c r="F4" s="49" t="s">
        <v>887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s="10" customFormat="1" ht="20.100000000000001" hidden="1" customHeight="1" x14ac:dyDescent="0.3">
      <c r="A5" s="91" t="s">
        <v>0</v>
      </c>
      <c r="B5" s="93" t="s">
        <v>1</v>
      </c>
      <c r="C5" s="50" t="s">
        <v>838</v>
      </c>
      <c r="D5" s="51" t="s">
        <v>2</v>
      </c>
      <c r="E5" s="52" t="s">
        <v>3</v>
      </c>
      <c r="F5" s="53" t="s">
        <v>4</v>
      </c>
    </row>
    <row r="6" spans="1:25" ht="15" customHeight="1" x14ac:dyDescent="0.3">
      <c r="A6" s="91" t="str">
        <f t="shared" ref="A6" si="2">PROPER(TEXT(B6, "dddd"))</f>
        <v>Tisdag</v>
      </c>
      <c r="B6" s="93">
        <f t="shared" ref="B6" si="3">Tisdag38</f>
        <v>45916</v>
      </c>
      <c r="C6" s="46">
        <v>0.33333333333333331</v>
      </c>
      <c r="D6" s="54">
        <v>0.39583333333333331</v>
      </c>
      <c r="E6" s="55"/>
      <c r="F6" s="56" t="s">
        <v>522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0.35416666666666669</v>
      </c>
      <c r="D7" s="54">
        <v>0.39583333333333331</v>
      </c>
      <c r="E7" s="55" t="s">
        <v>128</v>
      </c>
      <c r="F7" s="56" t="s">
        <v>467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0.375</v>
      </c>
      <c r="D8" s="54">
        <v>0.44791666666666669</v>
      </c>
      <c r="E8" s="55"/>
      <c r="F8" s="56" t="s">
        <v>521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0.5625</v>
      </c>
      <c r="D9" s="54">
        <v>0.64583333333333337</v>
      </c>
      <c r="E9" s="55"/>
      <c r="F9" s="56" t="s">
        <v>601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0.70833333333333337</v>
      </c>
      <c r="D10" s="47">
        <v>0.83333333333333337</v>
      </c>
      <c r="E10" s="48"/>
      <c r="F10" s="49" t="s">
        <v>887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s="10" customFormat="1" ht="20.100000000000001" hidden="1" customHeight="1" x14ac:dyDescent="0.3">
      <c r="A11" s="91" t="s">
        <v>0</v>
      </c>
      <c r="B11" s="93" t="s">
        <v>1</v>
      </c>
      <c r="C11" s="50" t="s">
        <v>838</v>
      </c>
      <c r="D11" s="51" t="s">
        <v>2</v>
      </c>
      <c r="E11" s="52" t="s">
        <v>3</v>
      </c>
      <c r="F11" s="53" t="s">
        <v>4</v>
      </c>
    </row>
    <row r="12" spans="1:25" ht="15" customHeight="1" x14ac:dyDescent="0.3">
      <c r="A12" s="91" t="str">
        <f t="shared" ref="A12" si="4">PROPER(TEXT(B12, "dddd"))</f>
        <v>Onsdag</v>
      </c>
      <c r="B12" s="93">
        <f t="shared" ref="B12" si="5">Onsdag38</f>
        <v>45917</v>
      </c>
      <c r="C12" s="46">
        <v>0.375</v>
      </c>
      <c r="D12" s="54">
        <v>0.45833333333333331</v>
      </c>
      <c r="E12" s="55"/>
      <c r="F12" s="56" t="s">
        <v>752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0.375</v>
      </c>
      <c r="D13" s="54">
        <v>0.66666666666666663</v>
      </c>
      <c r="E13" s="55" t="s">
        <v>128</v>
      </c>
      <c r="F13" s="56" t="s">
        <v>908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0.41666666666666669</v>
      </c>
      <c r="D14" s="54">
        <v>0.5</v>
      </c>
      <c r="E14" s="55"/>
      <c r="F14" s="56" t="s">
        <v>657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0.55555555555555558</v>
      </c>
      <c r="D15" s="54">
        <v>0.63888888888888884</v>
      </c>
      <c r="E15" s="55"/>
      <c r="F15" s="56" t="s">
        <v>28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0.55555555555555558</v>
      </c>
      <c r="D16" s="54">
        <v>0.63888888888888884</v>
      </c>
      <c r="E16" s="55"/>
      <c r="F16" s="56" t="s">
        <v>791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0.70833333333333337</v>
      </c>
      <c r="D17" s="54">
        <v>0.83333333333333337</v>
      </c>
      <c r="E17" s="55"/>
      <c r="F17" s="56" t="s">
        <v>887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hidden="1" customHeight="1" x14ac:dyDescent="0.3">
      <c r="A18" s="91" t="s">
        <v>0</v>
      </c>
      <c r="B18" s="93" t="s">
        <v>1</v>
      </c>
      <c r="C18" s="50" t="s">
        <v>838</v>
      </c>
      <c r="D18" s="51" t="s">
        <v>2</v>
      </c>
      <c r="E18" s="52" t="s">
        <v>3</v>
      </c>
      <c r="F18" s="53" t="s">
        <v>4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 t="str">
        <f t="shared" ref="A19" si="6">PROPER(TEXT(B19, "dddd"))</f>
        <v>Torsdag</v>
      </c>
      <c r="B19" s="93">
        <f t="shared" ref="B19" si="7">Torsdag38</f>
        <v>45918</v>
      </c>
      <c r="C19" s="46">
        <v>0.35416666666666669</v>
      </c>
      <c r="D19" s="54">
        <v>0.39583333333333331</v>
      </c>
      <c r="E19" s="55" t="s">
        <v>128</v>
      </c>
      <c r="F19" s="56" t="s">
        <v>467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0.375</v>
      </c>
      <c r="D20" s="54">
        <v>0.4375</v>
      </c>
      <c r="E20" s="55"/>
      <c r="F20" s="56" t="s">
        <v>521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/>
      <c r="B21" s="93"/>
      <c r="C21" s="46">
        <v>0.41666666666666669</v>
      </c>
      <c r="D21" s="54">
        <v>0.5</v>
      </c>
      <c r="E21" s="55"/>
      <c r="F21" s="56" t="s">
        <v>252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0.5625</v>
      </c>
      <c r="D22" s="54">
        <v>0.64583333333333337</v>
      </c>
      <c r="E22" s="55"/>
      <c r="F22" s="56" t="s">
        <v>230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0.70833333333333337</v>
      </c>
      <c r="D23" s="47">
        <v>0.83333333333333337</v>
      </c>
      <c r="E23" s="48"/>
      <c r="F23" s="49" t="s">
        <v>887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hidden="1" customHeight="1" x14ac:dyDescent="0.3">
      <c r="A24" s="91" t="s">
        <v>0</v>
      </c>
      <c r="B24" s="93" t="s">
        <v>1</v>
      </c>
      <c r="C24" s="50" t="s">
        <v>838</v>
      </c>
      <c r="D24" s="51" t="s">
        <v>2</v>
      </c>
      <c r="E24" s="52" t="s">
        <v>3</v>
      </c>
      <c r="F24" s="53" t="s">
        <v>4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 t="str">
        <f t="shared" ref="A25" si="8">PROPER(TEXT(B25, "dddd"))</f>
        <v>Fredag</v>
      </c>
      <c r="B25" s="93">
        <f t="shared" ref="B25" si="9">Fredag38</f>
        <v>45919</v>
      </c>
      <c r="C25" s="46">
        <v>0.35416666666666669</v>
      </c>
      <c r="D25" s="54">
        <v>0.39583333333333331</v>
      </c>
      <c r="E25" s="55" t="s">
        <v>128</v>
      </c>
      <c r="F25" s="56" t="s">
        <v>467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0.375</v>
      </c>
      <c r="D26" s="54">
        <v>0.4375</v>
      </c>
      <c r="E26" s="55"/>
      <c r="F26" s="56" t="s">
        <v>521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/>
      <c r="B27" s="93"/>
      <c r="C27" s="46">
        <v>0.41666666666666669</v>
      </c>
      <c r="D27" s="54">
        <v>0.5</v>
      </c>
      <c r="E27" s="55"/>
      <c r="F27" s="56" t="s">
        <v>643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0.45833333333333331</v>
      </c>
      <c r="D28" s="54">
        <v>0.54166666666666663</v>
      </c>
      <c r="E28" s="55"/>
      <c r="F28" s="56" t="s">
        <v>815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0.70833333333333337</v>
      </c>
      <c r="D29" s="47">
        <v>0.83333333333333337</v>
      </c>
      <c r="E29" s="48"/>
      <c r="F29" s="49" t="s">
        <v>887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hidden="1" customHeight="1" x14ac:dyDescent="0.3">
      <c r="A30" s="91" t="s">
        <v>0</v>
      </c>
      <c r="B30" s="93" t="s">
        <v>1</v>
      </c>
      <c r="C30" s="50" t="s">
        <v>838</v>
      </c>
      <c r="D30" s="51" t="s">
        <v>2</v>
      </c>
      <c r="E30" s="52" t="s">
        <v>3</v>
      </c>
      <c r="F30" s="53" t="s">
        <v>4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91" t="str">
        <f t="shared" ref="A31" si="10">PROPER(TEXT(B31, "dddd"))</f>
        <v>Lördag</v>
      </c>
      <c r="B31" s="93">
        <f t="shared" ref="B31" si="11">Lördag38</f>
        <v>45920</v>
      </c>
      <c r="C31" s="46">
        <v>0.29166666666666669</v>
      </c>
      <c r="D31" s="54">
        <v>0.66666666666666663</v>
      </c>
      <c r="E31" s="55"/>
      <c r="F31" s="56" t="s">
        <v>490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hidden="1" customHeight="1" x14ac:dyDescent="0.3">
      <c r="A32" s="91" t="s">
        <v>0</v>
      </c>
      <c r="B32" s="93" t="s">
        <v>1</v>
      </c>
      <c r="C32" s="50" t="s">
        <v>838</v>
      </c>
      <c r="D32" s="51" t="s">
        <v>2</v>
      </c>
      <c r="E32" s="52" t="s">
        <v>3</v>
      </c>
      <c r="F32" s="53" t="s">
        <v>4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91" t="str">
        <f t="shared" ref="A33" si="12">PROPER(TEXT(B33, "dddd"))</f>
        <v>Söndag</v>
      </c>
      <c r="B33" s="93">
        <f t="shared" ref="B33" si="13">Söndag38</f>
        <v>45921</v>
      </c>
      <c r="C33" s="46">
        <v>0.375</v>
      </c>
      <c r="D33" s="54">
        <v>0.79166666666666663</v>
      </c>
      <c r="E33" s="55"/>
      <c r="F33" s="56" t="s">
        <v>887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5" spans="1:24" ht="15" customHeight="1" x14ac:dyDescent="0.3">
      <c r="C35" s="46"/>
      <c r="D35" s="47"/>
    </row>
    <row r="36" spans="1:24" ht="15" customHeight="1" x14ac:dyDescent="0.3">
      <c r="C36" s="46"/>
      <c r="D36" s="8"/>
    </row>
    <row r="37" spans="1:24" ht="15" customHeight="1" x14ac:dyDescent="0.3">
      <c r="C37" s="46"/>
      <c r="D37" s="8"/>
    </row>
  </sheetData>
  <sheetProtection algorithmName="SHA-512" hashValue="UrgybzUJ2YAXYyUnxEGjP2fmRZZLbKgzwRzB1V6ab5669LZ5KVZouw6by7MfP9kza0+yRw70FhG1W5ISms8EVA==" saltValue="nmSFP756Kgt2l7P81sinEw==" spinCount="100000" sheet="1" objects="1" scenarios="1" autoFilter="0" pivotTables="0"/>
  <sortState xmlns:xlrd2="http://schemas.microsoft.com/office/spreadsheetml/2017/richdata2" ref="A12:F17">
    <sortCondition ref="C12:C17"/>
  </sortState>
  <conditionalFormatting sqref="A3:A4 A6:A10 A19:A23 A25:A29 A31 A33 A12:A17">
    <cfRule type="cellIs" dxfId="1196" priority="1" operator="equal">
      <formula>"Datum"</formula>
    </cfRule>
    <cfRule type="cellIs" dxfId="1195" priority="2" operator="equal">
      <formula>"Dag"</formula>
    </cfRule>
    <cfRule type="expression" dxfId="1194" priority="4">
      <formula>OR(IF($A2="Dag",1))</formula>
    </cfRule>
  </conditionalFormatting>
  <conditionalFormatting sqref="A32">
    <cfRule type="expression" dxfId="1193" priority="22">
      <formula>OR(IF(#REF!="Dag",1))</formula>
    </cfRule>
  </conditionalFormatting>
  <conditionalFormatting sqref="A1:B2 B3:B4 A5:B5 B6:B10 A11:B11 A18:B18 B19:B23 A24:B24 B25:B29 A30:B30 B31 A32:B32 B33 A34:B1048576 B12:B17">
    <cfRule type="cellIs" dxfId="1192" priority="14" operator="equal">
      <formula>"Datum"</formula>
    </cfRule>
    <cfRule type="cellIs" dxfId="1191" priority="15" operator="equal">
      <formula>"Dag"</formula>
    </cfRule>
  </conditionalFormatting>
  <conditionalFormatting sqref="B3:B4 B6:B10 B12:B17 B19:B23 B25:B29 B31 B33">
    <cfRule type="expression" dxfId="1190" priority="21">
      <formula>OR(IF($B2="Datum",1))</formula>
    </cfRule>
  </conditionalFormatting>
  <conditionalFormatting sqref="C3:E33">
    <cfRule type="expression" dxfId="1189" priority="18">
      <formula>OR(IF($E3="Hela hallen",1))</formula>
    </cfRule>
  </conditionalFormatting>
  <conditionalFormatting sqref="L1:T1048576">
    <cfRule type="cellIs" dxfId="1188" priority="13" operator="equal">
      <formula>"-"</formula>
    </cfRule>
  </conditionalFormatting>
  <conditionalFormatting sqref="A18 A24 A30">
    <cfRule type="expression" dxfId="1187" priority="1146">
      <formula>OR(IF(#REF!="Dag",1))</formula>
    </cfRule>
  </conditionalFormatting>
  <conditionalFormatting sqref="C3:F33">
    <cfRule type="expression" dxfId="1186" priority="2372">
      <formula>OR(IF(#REF!=TRUE,1))</formula>
    </cfRule>
  </conditionalFormatting>
  <conditionalFormatting sqref="A5 A11">
    <cfRule type="expression" dxfId="1185" priority="2373">
      <formula>OR(IF(#REF!="Dag",1))</formula>
    </cfRule>
  </conditionalFormatting>
  <conditionalFormatting sqref="B5 B11 B18 B24 B30 B32">
    <cfRule type="expression" dxfId="1184" priority="2375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8F3F75D-8509-48B8-990D-FB2607AEA957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A12:B17 A3:B4 A6:B10 A19:B23 A25:B29 A31:B31 A33:B33</xm:sqref>
        </x14:conditionalFormatting>
        <x14:conditionalFormatting xmlns:xm="http://schemas.microsoft.com/office/excel/2006/main">
          <x14:cfRule type="expression" priority="2384" id="{1E71C89D-05AD-48AE-AF0D-52BC5EA98F8E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 A11:B11 A18:B18 A24:B24 A30:B30 A32:B32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B4F4877-E0DC-4484-B137-80C863E0BA92}">
          <x14:formula1>
            <xm:f>Listor!$A$2:$A$150</xm:f>
          </x14:formula1>
          <xm:sqref>E3:E4 E12:E17 E6:E10 E19:E23 E31 E33 E25:E29</xm:sqref>
        </x14:dataValidation>
        <x14:dataValidation type="list" allowBlank="1" showInputMessage="1" showErrorMessage="1" xr:uid="{94BDFC5A-27F4-4AFD-8DA0-C1E8F2E090E5}">
          <x14:formula1>
            <xm:f>Kontaktuppgifter!$A$2:$A$300</xm:f>
          </x14:formula1>
          <xm:sqref>F3:F4 F12:F17 F6:F10 F19:F23 F31 F33 F25:F29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678A-7987-4B55-AF12-AD11BA5E9CA6}">
  <sheetPr codeName="Blad40"/>
  <dimension ref="A1:Y39"/>
  <sheetViews>
    <sheetView showGridLines="0" zoomScaleNormal="100" workbookViewId="0">
      <pane ySplit="2" topLeftCell="A3" activePane="bottomLeft" state="frozen"/>
      <selection activeCell="F22" sqref="F22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Måndag39</f>
        <v>45922</v>
      </c>
      <c r="W1" s="39">
        <f>Söndag39</f>
        <v>45928</v>
      </c>
      <c r="X1" s="40">
        <f>WEEKNUM(Söndag39, 2)</f>
        <v>39</v>
      </c>
      <c r="Y1" s="41" t="str">
        <f>"V. "&amp;X1&amp;", "&amp;TEXT(V1,"D MMM")&amp;"-"&amp;TEXT(W1,"D MMM")</f>
        <v>V. 39, 22 sep-28 sep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Måndag39</f>
        <v>45922</v>
      </c>
      <c r="C3" s="46">
        <v>0.35416666666666669</v>
      </c>
      <c r="D3" s="47">
        <v>0.39583333333333331</v>
      </c>
      <c r="E3" s="48" t="s">
        <v>128</v>
      </c>
      <c r="F3" s="49" t="s">
        <v>467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0.70833333333333337</v>
      </c>
      <c r="D4" s="47">
        <v>0.83333333333333337</v>
      </c>
      <c r="E4" s="48"/>
      <c r="F4" s="49" t="s">
        <v>887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s="10" customFormat="1" ht="20.100000000000001" hidden="1" customHeight="1" x14ac:dyDescent="0.3">
      <c r="A5" s="91" t="s">
        <v>0</v>
      </c>
      <c r="B5" s="93" t="s">
        <v>1</v>
      </c>
      <c r="C5" s="50" t="s">
        <v>838</v>
      </c>
      <c r="D5" s="51" t="s">
        <v>2</v>
      </c>
      <c r="E5" s="52" t="s">
        <v>3</v>
      </c>
      <c r="F5" s="53" t="s">
        <v>4</v>
      </c>
    </row>
    <row r="6" spans="1:25" ht="15" customHeight="1" x14ac:dyDescent="0.3">
      <c r="A6" s="91" t="str">
        <f t="shared" ref="A6" si="2">PROPER(TEXT(B6, "dddd"))</f>
        <v>Tisdag</v>
      </c>
      <c r="B6" s="93">
        <f t="shared" ref="B6" si="3">Tisdag39</f>
        <v>45923</v>
      </c>
      <c r="C6" s="46">
        <v>0.33333333333333331</v>
      </c>
      <c r="D6" s="54">
        <v>0.39583333333333331</v>
      </c>
      <c r="E6" s="55"/>
      <c r="F6" s="56" t="s">
        <v>522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0.35416666666666669</v>
      </c>
      <c r="D7" s="54">
        <v>0.39583333333333331</v>
      </c>
      <c r="E7" s="55" t="s">
        <v>128</v>
      </c>
      <c r="F7" s="56" t="s">
        <v>467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0.375</v>
      </c>
      <c r="D8" s="54">
        <v>0.44791666666666669</v>
      </c>
      <c r="E8" s="55"/>
      <c r="F8" s="56" t="s">
        <v>521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0.5625</v>
      </c>
      <c r="D9" s="54">
        <v>0.64583333333333337</v>
      </c>
      <c r="E9" s="55"/>
      <c r="F9" s="56" t="s">
        <v>601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0.58333333333333337</v>
      </c>
      <c r="D10" s="47">
        <v>0.625</v>
      </c>
      <c r="E10" s="48" t="s">
        <v>88</v>
      </c>
      <c r="F10" s="49" t="s">
        <v>535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0.70833333333333337</v>
      </c>
      <c r="D11" s="54">
        <v>0.83333333333333337</v>
      </c>
      <c r="E11" s="55"/>
      <c r="F11" s="56" t="s">
        <v>887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 t="str">
        <f t="shared" ref="A13" si="4">PROPER(TEXT(B13, "dddd"))</f>
        <v>Onsdag</v>
      </c>
      <c r="B13" s="93">
        <f t="shared" ref="B13" si="5">Onsdag39</f>
        <v>45924</v>
      </c>
      <c r="C13" s="46">
        <v>0.35416666666666669</v>
      </c>
      <c r="D13" s="54">
        <v>0.39583333333333331</v>
      </c>
      <c r="E13" s="55" t="s">
        <v>88</v>
      </c>
      <c r="F13" s="56" t="s">
        <v>535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0.375</v>
      </c>
      <c r="D14" s="54">
        <v>0.45833333333333331</v>
      </c>
      <c r="E14" s="55"/>
      <c r="F14" s="56" t="s">
        <v>752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0.41666666666666669</v>
      </c>
      <c r="D15" s="54">
        <v>0.5</v>
      </c>
      <c r="E15" s="55"/>
      <c r="F15" s="56" t="s">
        <v>657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0.4375</v>
      </c>
      <c r="D16" s="54">
        <v>0.47916666666666669</v>
      </c>
      <c r="E16" s="55" t="s">
        <v>88</v>
      </c>
      <c r="F16" s="56" t="s">
        <v>535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0.55555555555555558</v>
      </c>
      <c r="D17" s="54">
        <v>0.63888888888888884</v>
      </c>
      <c r="E17" s="55"/>
      <c r="F17" s="56" t="s">
        <v>28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s="10" customFormat="1" ht="15" customHeight="1" x14ac:dyDescent="0.3">
      <c r="A18" s="91"/>
      <c r="B18" s="93"/>
      <c r="C18" s="46">
        <v>0.55555555555555558</v>
      </c>
      <c r="D18" s="54">
        <v>0.63888888888888884</v>
      </c>
      <c r="E18" s="55"/>
      <c r="F18" s="56" t="s">
        <v>791</v>
      </c>
    </row>
    <row r="19" spans="1:24" ht="15" customHeight="1" x14ac:dyDescent="0.3">
      <c r="A19" s="91"/>
      <c r="B19" s="93"/>
      <c r="C19" s="46">
        <v>0.70833333333333337</v>
      </c>
      <c r="D19" s="54">
        <v>0.83333333333333337</v>
      </c>
      <c r="E19" s="55"/>
      <c r="F19" s="56" t="s">
        <v>887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hidden="1" customHeight="1" x14ac:dyDescent="0.3">
      <c r="A20" s="91" t="s">
        <v>0</v>
      </c>
      <c r="B20" s="93" t="s">
        <v>1</v>
      </c>
      <c r="C20" s="50" t="s">
        <v>838</v>
      </c>
      <c r="D20" s="51" t="s">
        <v>2</v>
      </c>
      <c r="E20" s="52" t="s">
        <v>3</v>
      </c>
      <c r="F20" s="53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 t="str">
        <f t="shared" ref="A21" si="6">PROPER(TEXT(B21, "dddd"))</f>
        <v>Torsdag</v>
      </c>
      <c r="B21" s="93">
        <f t="shared" ref="B21" si="7">Torsdag39</f>
        <v>45925</v>
      </c>
      <c r="C21" s="46">
        <v>0.35416666666666669</v>
      </c>
      <c r="D21" s="54">
        <v>0.39583333333333331</v>
      </c>
      <c r="E21" s="55" t="s">
        <v>128</v>
      </c>
      <c r="F21" s="56" t="s">
        <v>467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0.375</v>
      </c>
      <c r="D22" s="54">
        <v>0.4375</v>
      </c>
      <c r="E22" s="55"/>
      <c r="F22" s="56" t="s">
        <v>521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0.41666666666666669</v>
      </c>
      <c r="D23" s="54">
        <v>0.5</v>
      </c>
      <c r="E23" s="55"/>
      <c r="F23" s="56" t="s">
        <v>252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s="10" customFormat="1" ht="15" customHeight="1" x14ac:dyDescent="0.3">
      <c r="A24" s="91"/>
      <c r="B24" s="93"/>
      <c r="C24" s="46">
        <v>0.5625</v>
      </c>
      <c r="D24" s="54">
        <v>0.64583333333333337</v>
      </c>
      <c r="E24" s="55"/>
      <c r="F24" s="56" t="s">
        <v>230</v>
      </c>
    </row>
    <row r="25" spans="1:24" ht="15" customHeight="1" x14ac:dyDescent="0.3">
      <c r="A25" s="91"/>
      <c r="B25" s="93"/>
      <c r="C25" s="46">
        <v>0.70833333333333337</v>
      </c>
      <c r="D25" s="47">
        <v>0.83333333333333337</v>
      </c>
      <c r="E25" s="48"/>
      <c r="F25" s="49" t="s">
        <v>887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hidden="1" customHeight="1" x14ac:dyDescent="0.3">
      <c r="A26" s="91" t="s">
        <v>0</v>
      </c>
      <c r="B26" s="93" t="s">
        <v>1</v>
      </c>
      <c r="C26" s="50" t="s">
        <v>838</v>
      </c>
      <c r="D26" s="51" t="s">
        <v>2</v>
      </c>
      <c r="E26" s="52" t="s">
        <v>3</v>
      </c>
      <c r="F26" s="53" t="s">
        <v>4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 t="str">
        <f t="shared" ref="A27" si="8">PROPER(TEXT(B27, "dddd"))</f>
        <v>Fredag</v>
      </c>
      <c r="B27" s="93">
        <f t="shared" ref="B27" si="9">Fredag39</f>
        <v>45926</v>
      </c>
      <c r="C27" s="46">
        <v>0.35416666666666669</v>
      </c>
      <c r="D27" s="54">
        <v>0.39583333333333331</v>
      </c>
      <c r="E27" s="55" t="s">
        <v>128</v>
      </c>
      <c r="F27" s="56" t="s">
        <v>467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0.375</v>
      </c>
      <c r="D28" s="54">
        <v>0.4375</v>
      </c>
      <c r="E28" s="55"/>
      <c r="F28" s="56" t="s">
        <v>521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0.41666666666666669</v>
      </c>
      <c r="D29" s="54">
        <v>0.5</v>
      </c>
      <c r="E29" s="55"/>
      <c r="F29" s="56" t="s">
        <v>643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s="10" customFormat="1" ht="15" customHeight="1" x14ac:dyDescent="0.3">
      <c r="A30" s="91"/>
      <c r="B30" s="93"/>
      <c r="C30" s="46">
        <v>0.45833333333333331</v>
      </c>
      <c r="D30" s="54">
        <v>0.54166666666666663</v>
      </c>
      <c r="E30" s="55"/>
      <c r="F30" s="56" t="s">
        <v>815</v>
      </c>
    </row>
    <row r="31" spans="1:24" ht="15" customHeight="1" x14ac:dyDescent="0.3">
      <c r="A31" s="91"/>
      <c r="B31" s="93"/>
      <c r="C31" s="46">
        <v>0.70833333333333337</v>
      </c>
      <c r="D31" s="47">
        <v>0.83333333333333337</v>
      </c>
      <c r="E31" s="48"/>
      <c r="F31" s="49" t="s">
        <v>887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hidden="1" customHeight="1" x14ac:dyDescent="0.3">
      <c r="A32" s="91" t="s">
        <v>0</v>
      </c>
      <c r="B32" s="93" t="s">
        <v>1</v>
      </c>
      <c r="C32" s="50" t="s">
        <v>838</v>
      </c>
      <c r="D32" s="51" t="s">
        <v>2</v>
      </c>
      <c r="E32" s="52" t="s">
        <v>3</v>
      </c>
      <c r="F32" s="53" t="s">
        <v>4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91" t="str">
        <f t="shared" ref="A33" si="10">PROPER(TEXT(B33, "dddd"))</f>
        <v>Lördag</v>
      </c>
      <c r="B33" s="93">
        <f t="shared" ref="B33" si="11">Lördag39</f>
        <v>45927</v>
      </c>
      <c r="C33" s="46">
        <v>0.375</v>
      </c>
      <c r="D33" s="54">
        <v>0.625</v>
      </c>
      <c r="E33" s="55"/>
      <c r="F33" s="56" t="s">
        <v>887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hidden="1" customHeight="1" x14ac:dyDescent="0.3">
      <c r="A34" s="91" t="s">
        <v>0</v>
      </c>
      <c r="B34" s="93" t="s">
        <v>1</v>
      </c>
      <c r="C34" s="50" t="s">
        <v>838</v>
      </c>
      <c r="D34" s="51" t="s">
        <v>2</v>
      </c>
      <c r="E34" s="52" t="s">
        <v>3</v>
      </c>
      <c r="F34" s="53" t="s">
        <v>4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customHeight="1" x14ac:dyDescent="0.3">
      <c r="A35" s="91" t="str">
        <f t="shared" ref="A35" si="12">PROPER(TEXT(B35, "dddd"))</f>
        <v>Söndag</v>
      </c>
      <c r="B35" s="93">
        <f t="shared" ref="B35" si="13">Söndag39</f>
        <v>45928</v>
      </c>
      <c r="C35" s="46">
        <v>0.375</v>
      </c>
      <c r="D35" s="54">
        <v>0.79166666666666663</v>
      </c>
      <c r="E35" s="55"/>
      <c r="F35" s="56" t="s">
        <v>887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7" spans="1:24" ht="15" customHeight="1" x14ac:dyDescent="0.3">
      <c r="C37" s="46"/>
      <c r="D37" s="47"/>
    </row>
    <row r="38" spans="1:24" ht="15" customHeight="1" x14ac:dyDescent="0.3">
      <c r="C38" s="46"/>
      <c r="D38" s="8"/>
    </row>
    <row r="39" spans="1:24" ht="15" customHeight="1" x14ac:dyDescent="0.3">
      <c r="C39" s="46"/>
      <c r="D39" s="8"/>
    </row>
  </sheetData>
  <sheetProtection algorithmName="SHA-512" hashValue="1/Nof8wKTpci1DIUJPtI36zbfto1AUBKeg3IjRRtSmfZQhKx9YrhItP+fGTWqLhk8qABTpLdsI+2nvgo1cItCg==" saltValue="kLKX8lzeURfk+4rvqcRp8w==" spinCount="100000" sheet="1" objects="1" scenarios="1" autoFilter="0" pivotTables="0"/>
  <sortState xmlns:xlrd2="http://schemas.microsoft.com/office/spreadsheetml/2017/richdata2" ref="A13:F18">
    <sortCondition ref="C13:C18"/>
  </sortState>
  <conditionalFormatting sqref="A3:A4 A21:A25 A27:A31 A33 A35 A6:A11 A13:A19">
    <cfRule type="cellIs" dxfId="1125" priority="9" operator="equal">
      <formula>"Datum"</formula>
    </cfRule>
    <cfRule type="cellIs" dxfId="1124" priority="10" operator="equal">
      <formula>"Dag"</formula>
    </cfRule>
    <cfRule type="expression" dxfId="1123" priority="12">
      <formula>OR(IF($A2="Dag",1))</formula>
    </cfRule>
  </conditionalFormatting>
  <conditionalFormatting sqref="A34">
    <cfRule type="expression" dxfId="1122" priority="30">
      <formula>OR(IF(#REF!="Dag",1))</formula>
    </cfRule>
  </conditionalFormatting>
  <conditionalFormatting sqref="A1:B2 B3:B4 A5:B5 A12:B12 A20:B20 B21:B25 A26:B26 B27:B31 A32:B32 B33 A34:B34 B35 A36:B1048576 B6:B11 B13:B19">
    <cfRule type="cellIs" dxfId="1121" priority="22" operator="equal">
      <formula>"Datum"</formula>
    </cfRule>
    <cfRule type="cellIs" dxfId="1120" priority="23" operator="equal">
      <formula>"Dag"</formula>
    </cfRule>
  </conditionalFormatting>
  <conditionalFormatting sqref="B13:B19 B3:B4 B6:B11 B21:B25 B27:B31 B33 B35">
    <cfRule type="expression" dxfId="1119" priority="29">
      <formula>OR(IF($B2="Datum",1))</formula>
    </cfRule>
  </conditionalFormatting>
  <conditionalFormatting sqref="C3:E3 C5:E9 C11:E24 C26:E30 C32:E35">
    <cfRule type="expression" dxfId="1118" priority="26">
      <formula>OR(IF($E3="Hela hallen",1))</formula>
    </cfRule>
  </conditionalFormatting>
  <conditionalFormatting sqref="L1:T1048576">
    <cfRule type="cellIs" dxfId="1117" priority="21" operator="equal">
      <formula>"-"</formula>
    </cfRule>
  </conditionalFormatting>
  <conditionalFormatting sqref="A12">
    <cfRule type="expression" dxfId="1116" priority="1158">
      <formula>OR(IF($A11="Dag",1))</formula>
    </cfRule>
  </conditionalFormatting>
  <conditionalFormatting sqref="B12">
    <cfRule type="expression" dxfId="1115" priority="1162">
      <formula>OR(IF($B11="Datum",1))</formula>
    </cfRule>
  </conditionalFormatting>
  <conditionalFormatting sqref="C4:E4">
    <cfRule type="expression" dxfId="1114" priority="7">
      <formula>OR(IF($E4="Hela hallen",1))</formula>
    </cfRule>
  </conditionalFormatting>
  <conditionalFormatting sqref="C10:E10">
    <cfRule type="expression" dxfId="1113" priority="5">
      <formula>OR(IF($E10="Hela hallen",1))</formula>
    </cfRule>
  </conditionalFormatting>
  <conditionalFormatting sqref="C25:E25">
    <cfRule type="expression" dxfId="1112" priority="3">
      <formula>OR(IF($E25="Hela hallen",1))</formula>
    </cfRule>
  </conditionalFormatting>
  <conditionalFormatting sqref="C31:E31">
    <cfRule type="expression" dxfId="1111" priority="1">
      <formula>OR(IF($E31="Hela hallen",1))</formula>
    </cfRule>
  </conditionalFormatting>
  <conditionalFormatting sqref="A20">
    <cfRule type="expression" dxfId="1110" priority="1766">
      <formula>OR(IF($A18="Dag",1))</formula>
    </cfRule>
  </conditionalFormatting>
  <conditionalFormatting sqref="B20">
    <cfRule type="expression" dxfId="1109" priority="1767">
      <formula>OR(IF($B18="Datum",1))</formula>
    </cfRule>
  </conditionalFormatting>
  <conditionalFormatting sqref="C3:F35">
    <cfRule type="expression" dxfId="1108" priority="2385">
      <formula>OR(IF(#REF!=TRUE,1))</formula>
    </cfRule>
  </conditionalFormatting>
  <conditionalFormatting sqref="A5 A26 A32">
    <cfRule type="expression" dxfId="1107" priority="2386">
      <formula>OR(IF(#REF!="Dag",1))</formula>
    </cfRule>
  </conditionalFormatting>
  <conditionalFormatting sqref="B5 B26 B32 B34">
    <cfRule type="expression" dxfId="1106" priority="2388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B4F6F577-B763-45AA-BCF1-5ED52F24D51B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A3:B4 A6:B19 A21:B25 A27:B31 A33:B33 A35:B35</xm:sqref>
        </x14:conditionalFormatting>
        <x14:conditionalFormatting xmlns:xm="http://schemas.microsoft.com/office/excel/2006/main">
          <x14:cfRule type="expression" priority="2397" id="{9618E6BE-06E6-4782-8E73-9962824C3ECF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 A26:B26 A32:B32 A34:B34</xm:sqref>
        </x14:conditionalFormatting>
        <x14:conditionalFormatting xmlns:xm="http://schemas.microsoft.com/office/excel/2006/main">
          <x14:cfRule type="expression" priority="2405" id="{9618E6BE-06E6-4782-8E73-9962824C3ECF}">
            <xm:f>AND(IF(ISERROR(MATCH($B20,Kalenderår!$A$3:$A$17,0)),FALSE,TRUE), IF($B18="Datum",TRUE,FALSE), IF($A18="Dag",TRUE,FALSE))</xm:f>
            <x14:dxf>
              <font>
                <color rgb="FFC00000"/>
              </font>
            </x14:dxf>
          </x14:cfRule>
          <xm:sqref>A20:B20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2AA1C3-9438-4A1A-94EA-442D69C36BDB}">
          <x14:formula1>
            <xm:f>Kontaktuppgifter!$A$2:$A$300</xm:f>
          </x14:formula1>
          <xm:sqref>F3:F4 F21:F25 F33 F35 F27:F31 F6:F11 F13:F19</xm:sqref>
        </x14:dataValidation>
        <x14:dataValidation type="list" allowBlank="1" showInputMessage="1" showErrorMessage="1" xr:uid="{D2BBA351-A621-4D00-866A-CB8406E08686}">
          <x14:formula1>
            <xm:f>Listor!$A$2:$A$150</xm:f>
          </x14:formula1>
          <xm:sqref>E3:E4 E21:E25 E33 E35 E27:E31 E6:E11 E13:E19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334B-AD09-4DF7-8E10-D7DB15993C59}">
  <sheetPr codeName="Blad41"/>
  <dimension ref="A1:Y40"/>
  <sheetViews>
    <sheetView showGridLines="0" zoomScaleNormal="100" workbookViewId="0">
      <pane ySplit="2" topLeftCell="A3" activePane="bottomLeft" state="frozen"/>
      <selection activeCell="F22" sqref="F22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11.441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Måndag40</f>
        <v>45929</v>
      </c>
      <c r="W1" s="39">
        <f>Söndag40</f>
        <v>45935</v>
      </c>
      <c r="X1" s="40">
        <f>WEEKNUM(Söndag40, 2)</f>
        <v>40</v>
      </c>
      <c r="Y1" s="41" t="str">
        <f>"V. "&amp;X1&amp;", "&amp;TEXT(V1,"D MMM")&amp;"-"&amp;TEXT(W1,"D MMM")</f>
        <v>V. 40, 29 sep-5 okt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Måndag40</f>
        <v>45929</v>
      </c>
      <c r="C3" s="46">
        <v>0.35416666666666669</v>
      </c>
      <c r="D3" s="47">
        <v>0.39583333333333331</v>
      </c>
      <c r="E3" s="48" t="s">
        <v>128</v>
      </c>
      <c r="F3" s="49" t="s">
        <v>467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0.70833333333333337</v>
      </c>
      <c r="D4" s="47">
        <v>0.83333333333333337</v>
      </c>
      <c r="E4" s="48"/>
      <c r="F4" s="49" t="s">
        <v>887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s="10" customFormat="1" ht="20.100000000000001" hidden="1" customHeight="1" x14ac:dyDescent="0.3">
      <c r="A5" s="91" t="s">
        <v>0</v>
      </c>
      <c r="B5" s="93" t="s">
        <v>1</v>
      </c>
      <c r="C5" s="50" t="s">
        <v>838</v>
      </c>
      <c r="D5" s="51" t="s">
        <v>2</v>
      </c>
      <c r="E5" s="52" t="s">
        <v>3</v>
      </c>
      <c r="F5" s="53" t="s">
        <v>4</v>
      </c>
    </row>
    <row r="6" spans="1:25" ht="15" customHeight="1" x14ac:dyDescent="0.3">
      <c r="A6" s="91" t="str">
        <f t="shared" ref="A6" si="2">PROPER(TEXT(B6, "dddd"))</f>
        <v>Tisdag</v>
      </c>
      <c r="B6" s="93">
        <f t="shared" ref="B6" si="3">Tisdag40</f>
        <v>45930</v>
      </c>
      <c r="C6" s="46">
        <v>0.33333333333333331</v>
      </c>
      <c r="D6" s="54">
        <v>0.39583333333333331</v>
      </c>
      <c r="E6" s="55"/>
      <c r="F6" s="56" t="s">
        <v>522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0.35416666666666669</v>
      </c>
      <c r="D7" s="54">
        <v>0.39583333333333331</v>
      </c>
      <c r="E7" s="55" t="s">
        <v>128</v>
      </c>
      <c r="F7" s="56" t="s">
        <v>467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0.375</v>
      </c>
      <c r="D8" s="54">
        <v>0.44791666666666669</v>
      </c>
      <c r="E8" s="55"/>
      <c r="F8" s="56" t="s">
        <v>521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0.5625</v>
      </c>
      <c r="D9" s="54">
        <v>0.64583333333333337</v>
      </c>
      <c r="E9" s="55"/>
      <c r="F9" s="56" t="s">
        <v>601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0.58333333333333337</v>
      </c>
      <c r="D10" s="47">
        <v>0.625</v>
      </c>
      <c r="E10" s="48" t="s">
        <v>88</v>
      </c>
      <c r="F10" s="49" t="s">
        <v>535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0.70833333333333337</v>
      </c>
      <c r="D11" s="54">
        <v>0.83333333333333337</v>
      </c>
      <c r="E11" s="55"/>
      <c r="F11" s="56" t="s">
        <v>887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 t="str">
        <f t="shared" ref="A13" si="4">PROPER(TEXT(B13, "dddd"))</f>
        <v>Onsdag</v>
      </c>
      <c r="B13" s="93">
        <f t="shared" ref="B13" si="5">Onsdag40</f>
        <v>45931</v>
      </c>
      <c r="C13" s="46">
        <v>0.35416666666666669</v>
      </c>
      <c r="D13" s="54">
        <v>0.39583333333333331</v>
      </c>
      <c r="E13" s="55" t="s">
        <v>88</v>
      </c>
      <c r="F13" s="56" t="s">
        <v>535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0.375</v>
      </c>
      <c r="D14" s="54">
        <v>0.45833333333333331</v>
      </c>
      <c r="E14" s="55"/>
      <c r="F14" s="56" t="s">
        <v>752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0.41666666666666669</v>
      </c>
      <c r="D15" s="54">
        <v>0.5</v>
      </c>
      <c r="E15" s="55"/>
      <c r="F15" s="56" t="s">
        <v>657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0.4375</v>
      </c>
      <c r="D16" s="54">
        <v>0.47916666666666669</v>
      </c>
      <c r="E16" s="55" t="s">
        <v>88</v>
      </c>
      <c r="F16" s="56" t="s">
        <v>535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0.55555555555555558</v>
      </c>
      <c r="D17" s="54">
        <v>0.63888888888888884</v>
      </c>
      <c r="E17" s="55"/>
      <c r="F17" s="56" t="s">
        <v>28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s="10" customFormat="1" ht="15" customHeight="1" x14ac:dyDescent="0.3">
      <c r="A18" s="91"/>
      <c r="B18" s="93"/>
      <c r="C18" s="46">
        <v>0.55555555555555558</v>
      </c>
      <c r="D18" s="54">
        <v>0.63888888888888884</v>
      </c>
      <c r="E18" s="55"/>
      <c r="F18" s="56" t="s">
        <v>791</v>
      </c>
    </row>
    <row r="19" spans="1:24" ht="15" customHeight="1" x14ac:dyDescent="0.3">
      <c r="A19" s="91"/>
      <c r="B19" s="93"/>
      <c r="C19" s="46">
        <v>0.70833333333333337</v>
      </c>
      <c r="D19" s="54">
        <v>0.83333333333333337</v>
      </c>
      <c r="E19" s="55"/>
      <c r="F19" s="56" t="s">
        <v>887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hidden="1" customHeight="1" x14ac:dyDescent="0.3">
      <c r="A20" s="91" t="s">
        <v>0</v>
      </c>
      <c r="B20" s="93" t="s">
        <v>1</v>
      </c>
      <c r="C20" s="50" t="s">
        <v>838</v>
      </c>
      <c r="D20" s="51" t="s">
        <v>2</v>
      </c>
      <c r="E20" s="52" t="s">
        <v>3</v>
      </c>
      <c r="F20" s="53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 t="str">
        <f t="shared" ref="A21" si="6">PROPER(TEXT(B21, "dddd"))</f>
        <v>Torsdag</v>
      </c>
      <c r="B21" s="93">
        <f t="shared" ref="B21" si="7">Torsdag40</f>
        <v>45932</v>
      </c>
      <c r="C21" s="46">
        <v>0.35416666666666669</v>
      </c>
      <c r="D21" s="54">
        <v>0.39583333333333331</v>
      </c>
      <c r="E21" s="55" t="s">
        <v>128</v>
      </c>
      <c r="F21" s="56" t="s">
        <v>467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0.375</v>
      </c>
      <c r="D22" s="54">
        <v>0.4375</v>
      </c>
      <c r="E22" s="55"/>
      <c r="F22" s="56" t="s">
        <v>521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0.41666666666666669</v>
      </c>
      <c r="D23" s="54">
        <v>0.5</v>
      </c>
      <c r="E23" s="55"/>
      <c r="F23" s="56" t="s">
        <v>252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s="10" customFormat="1" ht="15" customHeight="1" x14ac:dyDescent="0.3">
      <c r="A24" s="91"/>
      <c r="B24" s="93"/>
      <c r="C24" s="46">
        <v>0.5625</v>
      </c>
      <c r="D24" s="54">
        <v>0.64583333333333337</v>
      </c>
      <c r="E24" s="55"/>
      <c r="F24" s="56" t="s">
        <v>230</v>
      </c>
    </row>
    <row r="25" spans="1:24" ht="15" customHeight="1" x14ac:dyDescent="0.3">
      <c r="A25" s="91"/>
      <c r="B25" s="93"/>
      <c r="C25" s="46">
        <v>0.70833333333333337</v>
      </c>
      <c r="D25" s="47">
        <v>0.83333333333333337</v>
      </c>
      <c r="E25" s="48"/>
      <c r="F25" s="49" t="s">
        <v>887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hidden="1" customHeight="1" x14ac:dyDescent="0.3">
      <c r="A26" s="91" t="s">
        <v>0</v>
      </c>
      <c r="B26" s="93" t="s">
        <v>1</v>
      </c>
      <c r="C26" s="50" t="s">
        <v>838</v>
      </c>
      <c r="D26" s="51" t="s">
        <v>2</v>
      </c>
      <c r="E26" s="52" t="s">
        <v>3</v>
      </c>
      <c r="F26" s="53" t="s">
        <v>4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 t="str">
        <f t="shared" ref="A27" si="8">PROPER(TEXT(B27, "dddd"))</f>
        <v>Fredag</v>
      </c>
      <c r="B27" s="93">
        <f t="shared" ref="B27" si="9">Fredag40</f>
        <v>45933</v>
      </c>
      <c r="C27" s="46">
        <v>0.35416666666666669</v>
      </c>
      <c r="D27" s="54">
        <v>0.39583333333333331</v>
      </c>
      <c r="E27" s="55" t="s">
        <v>128</v>
      </c>
      <c r="F27" s="56" t="s">
        <v>467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0.375</v>
      </c>
      <c r="D28" s="54">
        <v>0.4375</v>
      </c>
      <c r="E28" s="55"/>
      <c r="F28" s="56" t="s">
        <v>521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0.41666666666666669</v>
      </c>
      <c r="D29" s="54">
        <v>0.5</v>
      </c>
      <c r="E29" s="55"/>
      <c r="F29" s="56" t="s">
        <v>643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s="10" customFormat="1" ht="15" customHeight="1" x14ac:dyDescent="0.3">
      <c r="A30" s="91"/>
      <c r="B30" s="93"/>
      <c r="C30" s="46">
        <v>0.45833333333333331</v>
      </c>
      <c r="D30" s="54">
        <v>0.54166666666666663</v>
      </c>
      <c r="E30" s="55"/>
      <c r="F30" s="56" t="s">
        <v>815</v>
      </c>
    </row>
    <row r="31" spans="1:24" ht="15" customHeight="1" x14ac:dyDescent="0.3">
      <c r="A31" s="91"/>
      <c r="B31" s="93"/>
      <c r="C31" s="46">
        <v>0.5</v>
      </c>
      <c r="D31" s="54">
        <v>0.95833333333333337</v>
      </c>
      <c r="E31" s="55" t="s">
        <v>128</v>
      </c>
      <c r="F31" s="56" t="s">
        <v>661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91"/>
      <c r="B32" s="93"/>
      <c r="C32" s="46">
        <v>0.70833333333333337</v>
      </c>
      <c r="D32" s="47">
        <v>0.83333333333333337</v>
      </c>
      <c r="E32" s="48"/>
      <c r="F32" s="49" t="s">
        <v>887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hidden="1" customHeight="1" x14ac:dyDescent="0.3">
      <c r="A33" s="91" t="s">
        <v>0</v>
      </c>
      <c r="B33" s="93" t="s">
        <v>1</v>
      </c>
      <c r="C33" s="50" t="s">
        <v>838</v>
      </c>
      <c r="D33" s="51" t="s">
        <v>2</v>
      </c>
      <c r="E33" s="52" t="s">
        <v>3</v>
      </c>
      <c r="F33" s="53" t="s">
        <v>4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4" spans="1:24" ht="15" customHeight="1" x14ac:dyDescent="0.3">
      <c r="A34" s="91" t="str">
        <f t="shared" ref="A34" si="10">PROPER(TEXT(B34, "dddd"))</f>
        <v>Lördag</v>
      </c>
      <c r="B34" s="93">
        <f t="shared" ref="B34" si="11">Lördag40</f>
        <v>45934</v>
      </c>
      <c r="C34" s="46" t="s">
        <v>828</v>
      </c>
      <c r="D34" s="54"/>
      <c r="E34" s="55" t="s">
        <v>128</v>
      </c>
      <c r="F34" s="56" t="s">
        <v>661</v>
      </c>
      <c r="G34"/>
      <c r="H34" s="1"/>
      <c r="I34" s="1"/>
      <c r="L34"/>
      <c r="M34"/>
      <c r="N34"/>
      <c r="O34"/>
      <c r="P34"/>
      <c r="Q34"/>
      <c r="R34"/>
      <c r="S34"/>
      <c r="T34"/>
      <c r="V34"/>
      <c r="W34"/>
      <c r="X34"/>
    </row>
    <row r="35" spans="1:24" ht="15" hidden="1" customHeight="1" x14ac:dyDescent="0.3">
      <c r="A35" s="91" t="s">
        <v>0</v>
      </c>
      <c r="B35" s="93" t="s">
        <v>1</v>
      </c>
      <c r="C35" s="50" t="s">
        <v>838</v>
      </c>
      <c r="D35" s="51" t="s">
        <v>2</v>
      </c>
      <c r="E35" s="52" t="s">
        <v>3</v>
      </c>
      <c r="F35" s="53" t="s">
        <v>4</v>
      </c>
      <c r="G35"/>
      <c r="H35" s="1"/>
      <c r="I35" s="1"/>
      <c r="L35"/>
      <c r="M35"/>
      <c r="N35"/>
      <c r="O35"/>
      <c r="P35"/>
      <c r="Q35"/>
      <c r="R35"/>
      <c r="S35"/>
      <c r="T35"/>
      <c r="V35"/>
      <c r="W35"/>
      <c r="X35"/>
    </row>
    <row r="36" spans="1:24" ht="15" customHeight="1" x14ac:dyDescent="0.3">
      <c r="A36" s="91" t="str">
        <f t="shared" ref="A36" si="12">PROPER(TEXT(B36, "dddd"))</f>
        <v>Söndag</v>
      </c>
      <c r="B36" s="93">
        <f t="shared" ref="B36" si="13">Söndag40</f>
        <v>45935</v>
      </c>
      <c r="C36" s="46" t="s">
        <v>828</v>
      </c>
      <c r="D36" s="54"/>
      <c r="E36" s="55" t="s">
        <v>128</v>
      </c>
      <c r="F36" s="56" t="s">
        <v>661</v>
      </c>
      <c r="G36"/>
      <c r="H36" s="1"/>
      <c r="I36" s="1"/>
      <c r="L36"/>
      <c r="M36"/>
      <c r="N36"/>
      <c r="O36"/>
      <c r="P36"/>
      <c r="Q36"/>
      <c r="R36"/>
      <c r="S36"/>
      <c r="T36"/>
      <c r="V36"/>
      <c r="W36"/>
      <c r="X36"/>
    </row>
    <row r="38" spans="1:24" ht="15" customHeight="1" x14ac:dyDescent="0.3">
      <c r="C38" s="46"/>
      <c r="D38" s="47"/>
    </row>
    <row r="39" spans="1:24" ht="15" customHeight="1" x14ac:dyDescent="0.3">
      <c r="C39" s="46"/>
      <c r="D39" s="8"/>
    </row>
    <row r="40" spans="1:24" ht="15" customHeight="1" x14ac:dyDescent="0.3">
      <c r="C40" s="46"/>
      <c r="D40" s="8"/>
    </row>
  </sheetData>
  <sheetProtection algorithmName="SHA-512" hashValue="SLxzro70xQsFSFO0WCwc3Q4ENlxeMGFNXZOHpBnL9NaFeeeMIPx5B3X9WTfkhH1Z1EsdUx34D5Ye5683A/U3CA==" saltValue="jFNY+tQ8UFGhPqX0siEnvg==" spinCount="100000" sheet="1" objects="1" scenarios="1" autoFilter="0" pivotTables="0"/>
  <sortState xmlns:xlrd2="http://schemas.microsoft.com/office/spreadsheetml/2017/richdata2" ref="A13:F18">
    <sortCondition ref="C13:C18"/>
  </sortState>
  <conditionalFormatting sqref="A3:A4 A21:A25 A34 A36 A27:A32 A6:A11 A13:A19">
    <cfRule type="cellIs" dxfId="1046" priority="11" operator="equal">
      <formula>"Datum"</formula>
    </cfRule>
    <cfRule type="cellIs" dxfId="1045" priority="12" operator="equal">
      <formula>"Dag"</formula>
    </cfRule>
    <cfRule type="expression" dxfId="1044" priority="14">
      <formula>OR(IF($A2="Dag",1))</formula>
    </cfRule>
  </conditionalFormatting>
  <conditionalFormatting sqref="A12">
    <cfRule type="expression" dxfId="1043" priority="32">
      <formula>OR(IF($A11="Dag",1))</formula>
    </cfRule>
  </conditionalFormatting>
  <conditionalFormatting sqref="A1:B2 B3:B4 A5:B5 A12:B12 A20:B20 B21:B25 A26:B26 A33:B33 B34 A35:B35 B36 A37:B1048576 B27:B32 B6:B11 B13:B19">
    <cfRule type="cellIs" dxfId="1042" priority="24" operator="equal">
      <formula>"Datum"</formula>
    </cfRule>
    <cfRule type="cellIs" dxfId="1041" priority="25" operator="equal">
      <formula>"Dag"</formula>
    </cfRule>
  </conditionalFormatting>
  <conditionalFormatting sqref="B3:B4 B6:B19 B21:B25 B27:B32 B34 B36">
    <cfRule type="expression" dxfId="1040" priority="31">
      <formula>OR(IF($B2="Datum",1))</formula>
    </cfRule>
  </conditionalFormatting>
  <conditionalFormatting sqref="C3:E3 C5:E9 C11:E24 C26:E31 C33:E36">
    <cfRule type="expression" dxfId="1039" priority="28">
      <formula>OR(IF($E3="Hela hallen",1))</formula>
    </cfRule>
  </conditionalFormatting>
  <conditionalFormatting sqref="L1:T1048576">
    <cfRule type="cellIs" dxfId="1038" priority="23" operator="equal">
      <formula>"-"</formula>
    </cfRule>
  </conditionalFormatting>
  <conditionalFormatting sqref="A33">
    <cfRule type="expression" dxfId="1037" priority="1177">
      <formula>OR(IF($A32="Dag",1))</formula>
    </cfRule>
  </conditionalFormatting>
  <conditionalFormatting sqref="B33">
    <cfRule type="expression" dxfId="1036" priority="1181">
      <formula>OR(IF($B32="Datum",1))</formula>
    </cfRule>
  </conditionalFormatting>
  <conditionalFormatting sqref="C4:E4">
    <cfRule type="expression" dxfId="1035" priority="9">
      <formula>OR(IF($E4="Hela hallen",1))</formula>
    </cfRule>
  </conditionalFormatting>
  <conditionalFormatting sqref="C10:E10">
    <cfRule type="expression" dxfId="1034" priority="7">
      <formula>OR(IF($E10="Hela hallen",1))</formula>
    </cfRule>
  </conditionalFormatting>
  <conditionalFormatting sqref="C25:E25">
    <cfRule type="expression" dxfId="1033" priority="5">
      <formula>OR(IF($E25="Hela hallen",1))</formula>
    </cfRule>
  </conditionalFormatting>
  <conditionalFormatting sqref="C32:E32">
    <cfRule type="expression" dxfId="1032" priority="3">
      <formula>OR(IF($E32="Hela hallen",1))</formula>
    </cfRule>
  </conditionalFormatting>
  <conditionalFormatting sqref="A20">
    <cfRule type="expression" dxfId="1031" priority="1783">
      <formula>OR(IF($A18="Dag",1))</formula>
    </cfRule>
  </conditionalFormatting>
  <conditionalFormatting sqref="B20">
    <cfRule type="expression" dxfId="1030" priority="1784">
      <formula>OR(IF($B18="Datum",1))</formula>
    </cfRule>
  </conditionalFormatting>
  <conditionalFormatting sqref="C3:F36">
    <cfRule type="expression" dxfId="1029" priority="2406">
      <formula>OR(IF(#REF!=TRUE,1))</formula>
    </cfRule>
  </conditionalFormatting>
  <conditionalFormatting sqref="A5 A26 A35">
    <cfRule type="expression" dxfId="1028" priority="2407">
      <formula>OR(IF(#REF!="Dag",1))</formula>
    </cfRule>
  </conditionalFormatting>
  <conditionalFormatting sqref="B5 B26 B35">
    <cfRule type="expression" dxfId="1027" priority="2409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E06139F-B512-4BCE-BF89-F4445205D92E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A3:B4 A6:B19 A21:B25 A27:B34 A36:B36</xm:sqref>
        </x14:conditionalFormatting>
        <x14:conditionalFormatting xmlns:xm="http://schemas.microsoft.com/office/excel/2006/main">
          <x14:cfRule type="expression" priority="1190" id="{514C5F46-C359-44EC-9275-174398BD0924}">
            <xm:f>AND(IF(ISERROR(MATCH($B20,Kalenderår!$A$3:$A$17,0)),FALSE,TRUE), IF($B18="Datum",TRUE,FALSE), IF($A18="Dag",TRUE,FALSE))</xm:f>
            <x14:dxf>
              <font>
                <color rgb="FFC00000"/>
              </font>
            </x14:dxf>
          </x14:cfRule>
          <xm:sqref>A20:B20</xm:sqref>
        </x14:conditionalFormatting>
        <x14:conditionalFormatting xmlns:xm="http://schemas.microsoft.com/office/excel/2006/main">
          <x14:cfRule type="expression" priority="2418" id="{514C5F46-C359-44EC-9275-174398BD0924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 A26:B26 A35:B35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39E639-472F-4361-9F96-198D34EC5671}">
          <x14:formula1>
            <xm:f>Listor!$A$2:$A$150</xm:f>
          </x14:formula1>
          <xm:sqref>E3:E4 E21:E25 E34 E36 E27:E32 E6:E11 E13:E19</xm:sqref>
        </x14:dataValidation>
        <x14:dataValidation type="list" allowBlank="1" showInputMessage="1" showErrorMessage="1" xr:uid="{1280F0DE-B7A7-4E17-AF26-07147E8C2FA9}">
          <x14:formula1>
            <xm:f>Kontaktuppgifter!$A$2:$A$300</xm:f>
          </x14:formula1>
          <xm:sqref>F3:F4 F21:F25 F34 F36 F27:F32 F6:F11 F13:F19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0838-F27E-40C5-9DB2-9D9D5DB54950}">
  <sheetPr codeName="Blad42"/>
  <dimension ref="A1:Y37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80.332031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Måndag41</f>
        <v>45936</v>
      </c>
      <c r="W1" s="39">
        <f>Söndag41</f>
        <v>45942</v>
      </c>
      <c r="X1" s="40">
        <f>WEEKNUM(Söndag41, 2)</f>
        <v>41</v>
      </c>
      <c r="Y1" s="41" t="str">
        <f>"V. "&amp;X1&amp;", "&amp;TEXT(V1,"D MMM")&amp;"-"&amp;TEXT(W1,"D MMM")</f>
        <v>V. 41, 6 okt-12 okt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Måndag41</f>
        <v>45936</v>
      </c>
      <c r="C3" s="46">
        <v>6.9444444444444447E-4</v>
      </c>
      <c r="D3" s="47">
        <v>0.41666666666666669</v>
      </c>
      <c r="E3" s="48" t="s">
        <v>128</v>
      </c>
      <c r="F3" s="49" t="s">
        <v>661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0.35416666666666669</v>
      </c>
      <c r="D4" s="47">
        <v>0.39583333333333331</v>
      </c>
      <c r="E4" s="48" t="s">
        <v>128</v>
      </c>
      <c r="F4" s="49" t="s">
        <v>467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ht="15" customHeight="1" x14ac:dyDescent="0.3">
      <c r="A5" s="91"/>
      <c r="B5" s="92"/>
      <c r="C5" s="46">
        <v>0.70833333333333337</v>
      </c>
      <c r="D5" s="47">
        <v>0.83333333333333337</v>
      </c>
      <c r="E5" s="48"/>
      <c r="F5" s="49" t="s">
        <v>887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</row>
    <row r="7" spans="1:25" ht="15" customHeight="1" x14ac:dyDescent="0.3">
      <c r="A7" s="91" t="str">
        <f t="shared" ref="A7" si="2">PROPER(TEXT(B7, "dddd"))</f>
        <v>Tisdag</v>
      </c>
      <c r="B7" s="93">
        <f t="shared" ref="B7" si="3">Tisdag41</f>
        <v>45937</v>
      </c>
      <c r="C7" s="46">
        <v>0.33333333333333331</v>
      </c>
      <c r="D7" s="54">
        <v>0.39583333333333331</v>
      </c>
      <c r="E7" s="55"/>
      <c r="F7" s="56" t="s">
        <v>522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0.35416666666666669</v>
      </c>
      <c r="D8" s="54">
        <v>0.39583333333333331</v>
      </c>
      <c r="E8" s="55" t="s">
        <v>128</v>
      </c>
      <c r="F8" s="56" t="s">
        <v>467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0.375</v>
      </c>
      <c r="D9" s="54">
        <v>0.44791666666666669</v>
      </c>
      <c r="E9" s="55"/>
      <c r="F9" s="56" t="s">
        <v>521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0.5625</v>
      </c>
      <c r="D10" s="54">
        <v>0.64583333333333337</v>
      </c>
      <c r="E10" s="55"/>
      <c r="F10" s="56" t="s">
        <v>601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0.70833333333333337</v>
      </c>
      <c r="D11" s="47">
        <v>0.83333333333333337</v>
      </c>
      <c r="E11" s="48"/>
      <c r="F11" s="49" t="s">
        <v>887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 t="shared" ref="A13" si="4">PROPER(TEXT(B13, "dddd"))</f>
        <v>Onsdag</v>
      </c>
      <c r="B13" s="93">
        <f t="shared" ref="B13" si="5">Onsdag41</f>
        <v>45938</v>
      </c>
      <c r="C13" s="46">
        <v>0.375</v>
      </c>
      <c r="D13" s="54">
        <v>0.45833333333333331</v>
      </c>
      <c r="E13" s="55"/>
      <c r="F13" s="56" t="s">
        <v>752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0.41666666666666669</v>
      </c>
      <c r="D14" s="54">
        <v>0.5</v>
      </c>
      <c r="E14" s="55"/>
      <c r="F14" s="56" t="s">
        <v>657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0.55555555555555558</v>
      </c>
      <c r="D15" s="54">
        <v>0.63888888888888884</v>
      </c>
      <c r="E15" s="55"/>
      <c r="F15" s="56" t="s">
        <v>28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0.55555555555555558</v>
      </c>
      <c r="D16" s="54">
        <v>0.63888888888888884</v>
      </c>
      <c r="E16" s="55"/>
      <c r="F16" s="56" t="s">
        <v>791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0.70833333333333337</v>
      </c>
      <c r="D17" s="54">
        <v>0.83333333333333337</v>
      </c>
      <c r="E17" s="55"/>
      <c r="F17" s="56" t="s">
        <v>887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hidden="1" customHeight="1" x14ac:dyDescent="0.3">
      <c r="A18" s="91" t="s">
        <v>0</v>
      </c>
      <c r="B18" s="93" t="s">
        <v>1</v>
      </c>
      <c r="C18" s="50" t="s">
        <v>838</v>
      </c>
      <c r="D18" s="51" t="s">
        <v>2</v>
      </c>
      <c r="E18" s="52" t="s">
        <v>3</v>
      </c>
      <c r="F18" s="53" t="s">
        <v>4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 t="str">
        <f t="shared" ref="A19" si="6">PROPER(TEXT(B19, "dddd"))</f>
        <v>Torsdag</v>
      </c>
      <c r="B19" s="93">
        <f t="shared" ref="B19" si="7">Torsdag41</f>
        <v>45939</v>
      </c>
      <c r="C19" s="46">
        <v>0.35416666666666669</v>
      </c>
      <c r="D19" s="54">
        <v>0.39583333333333331</v>
      </c>
      <c r="E19" s="55" t="s">
        <v>128</v>
      </c>
      <c r="F19" s="56" t="s">
        <v>467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0.375</v>
      </c>
      <c r="D20" s="54">
        <v>0.4375</v>
      </c>
      <c r="E20" s="55"/>
      <c r="F20" s="56" t="s">
        <v>521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/>
      <c r="B21" s="93"/>
      <c r="C21" s="46">
        <v>0.41666666666666669</v>
      </c>
      <c r="D21" s="54">
        <v>0.5</v>
      </c>
      <c r="E21" s="55"/>
      <c r="F21" s="56" t="s">
        <v>252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0.5625</v>
      </c>
      <c r="D22" s="54">
        <v>0.64583333333333337</v>
      </c>
      <c r="E22" s="55"/>
      <c r="F22" s="56" t="s">
        <v>230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0.70833333333333337</v>
      </c>
      <c r="D23" s="47">
        <v>0.83333333333333337</v>
      </c>
      <c r="E23" s="48"/>
      <c r="F23" s="49" t="s">
        <v>887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hidden="1" customHeight="1" x14ac:dyDescent="0.3">
      <c r="A24" s="91" t="s">
        <v>0</v>
      </c>
      <c r="B24" s="93" t="s">
        <v>1</v>
      </c>
      <c r="C24" s="50" t="s">
        <v>838</v>
      </c>
      <c r="D24" s="51" t="s">
        <v>2</v>
      </c>
      <c r="E24" s="52" t="s">
        <v>3</v>
      </c>
      <c r="F24" s="53" t="s">
        <v>4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 t="str">
        <f t="shared" ref="A25" si="8">PROPER(TEXT(B25, "dddd"))</f>
        <v>Fredag</v>
      </c>
      <c r="B25" s="93">
        <f t="shared" ref="B25" si="9">Fredag41</f>
        <v>45940</v>
      </c>
      <c r="C25" s="46">
        <v>0.35416666666666669</v>
      </c>
      <c r="D25" s="54">
        <v>0.39583333333333331</v>
      </c>
      <c r="E25" s="55" t="s">
        <v>128</v>
      </c>
      <c r="F25" s="56" t="s">
        <v>467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0.375</v>
      </c>
      <c r="D26" s="54">
        <v>0.4375</v>
      </c>
      <c r="E26" s="55"/>
      <c r="F26" s="56" t="s">
        <v>521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/>
      <c r="B27" s="93"/>
      <c r="C27" s="46">
        <v>0.41666666666666669</v>
      </c>
      <c r="D27" s="54">
        <v>0.5</v>
      </c>
      <c r="E27" s="55"/>
      <c r="F27" s="56" t="s">
        <v>643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0.45833333333333331</v>
      </c>
      <c r="D28" s="54">
        <v>0.54166666666666663</v>
      </c>
      <c r="E28" s="55"/>
      <c r="F28" s="56" t="s">
        <v>815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/>
      <c r="B29" s="93"/>
      <c r="C29" s="46">
        <v>0.70833333333333337</v>
      </c>
      <c r="D29" s="47">
        <v>0.83333333333333337</v>
      </c>
      <c r="E29" s="48"/>
      <c r="F29" s="49" t="s">
        <v>887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hidden="1" customHeight="1" x14ac:dyDescent="0.3">
      <c r="A30" s="91" t="s">
        <v>0</v>
      </c>
      <c r="B30" s="93" t="s">
        <v>1</v>
      </c>
      <c r="C30" s="50" t="s">
        <v>838</v>
      </c>
      <c r="D30" s="51" t="s">
        <v>2</v>
      </c>
      <c r="E30" s="52" t="s">
        <v>3</v>
      </c>
      <c r="F30" s="53" t="s">
        <v>4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customHeight="1" x14ac:dyDescent="0.3">
      <c r="A31" s="91" t="str">
        <f t="shared" ref="A31" si="10">PROPER(TEXT(B31, "dddd"))</f>
        <v>Lördag</v>
      </c>
      <c r="B31" s="93">
        <f t="shared" ref="B31" si="11">Lördag41</f>
        <v>45941</v>
      </c>
      <c r="C31" s="46">
        <v>0.375</v>
      </c>
      <c r="D31" s="54">
        <v>0.625</v>
      </c>
      <c r="E31" s="55"/>
      <c r="F31" s="56" t="s">
        <v>887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hidden="1" customHeight="1" x14ac:dyDescent="0.3">
      <c r="A32" s="91" t="s">
        <v>0</v>
      </c>
      <c r="B32" s="93" t="s">
        <v>1</v>
      </c>
      <c r="C32" s="50" t="s">
        <v>838</v>
      </c>
      <c r="D32" s="51" t="s">
        <v>2</v>
      </c>
      <c r="E32" s="52" t="s">
        <v>3</v>
      </c>
      <c r="F32" s="53" t="s">
        <v>4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91" t="str">
        <f t="shared" ref="A33" si="12">PROPER(TEXT(B33, "dddd"))</f>
        <v>Söndag</v>
      </c>
      <c r="B33" s="93">
        <f t="shared" ref="B33" si="13">Söndag41</f>
        <v>45942</v>
      </c>
      <c r="C33" s="46">
        <v>0.375</v>
      </c>
      <c r="D33" s="54">
        <v>0.79166666666666663</v>
      </c>
      <c r="E33" s="55"/>
      <c r="F33" s="56" t="s">
        <v>887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5" spans="1:24" ht="15" customHeight="1" x14ac:dyDescent="0.3">
      <c r="C35" s="46"/>
      <c r="D35" s="47"/>
    </row>
    <row r="36" spans="1:24" ht="15" customHeight="1" x14ac:dyDescent="0.3">
      <c r="C36" s="46"/>
      <c r="D36" s="8"/>
    </row>
    <row r="37" spans="1:24" ht="15" customHeight="1" x14ac:dyDescent="0.3">
      <c r="C37" s="46"/>
      <c r="D37" s="8"/>
    </row>
  </sheetData>
  <sheetProtection algorithmName="SHA-512" hashValue="RFPVjUlaEUeq+lbvBmxdDGEyZYBp+KT6PRNDwL2W7+E7iTYCcw8utmA+CbdIV+M1SxS+Zrhf68AsDXBNZPMozg==" saltValue="eqebqmAdoTtf3QdAYL1eXA==" spinCount="100000" sheet="1" objects="1" scenarios="1" autoFilter="0" pivotTables="0"/>
  <sortState xmlns:xlrd2="http://schemas.microsoft.com/office/spreadsheetml/2017/richdata2" ref="A13:F17">
    <sortCondition ref="C13:C17"/>
  </sortState>
  <conditionalFormatting sqref="A3:A5 A7:A11 A19:A23 A25:A29 A31 A33 A13:A17">
    <cfRule type="cellIs" dxfId="967" priority="9" operator="equal">
      <formula>"Datum"</formula>
    </cfRule>
    <cfRule type="cellIs" dxfId="966" priority="10" operator="equal">
      <formula>"Dag"</formula>
    </cfRule>
    <cfRule type="expression" dxfId="965" priority="12">
      <formula>OR(IF($A2="Dag",1))</formula>
    </cfRule>
  </conditionalFormatting>
  <conditionalFormatting sqref="A32">
    <cfRule type="expression" dxfId="964" priority="30">
      <formula>OR(IF(#REF!="Dag",1))</formula>
    </cfRule>
  </conditionalFormatting>
  <conditionalFormatting sqref="A1:B2 B3:B5 A6:B6 B7:B11 A12:B12 A18:B18 B19:B23 A24:B24 B25:B29 A30:B30 B31 A32:B32 B33 A34:B1048576 B13:B17">
    <cfRule type="cellIs" dxfId="963" priority="22" operator="equal">
      <formula>"Datum"</formula>
    </cfRule>
    <cfRule type="cellIs" dxfId="962" priority="23" operator="equal">
      <formula>"Dag"</formula>
    </cfRule>
  </conditionalFormatting>
  <conditionalFormatting sqref="B3:B5 B7:B11 B13:B17 B19:B23 B25:B29 B31 B33">
    <cfRule type="expression" dxfId="961" priority="29">
      <formula>OR(IF($B2="Datum",1))</formula>
    </cfRule>
  </conditionalFormatting>
  <conditionalFormatting sqref="C3:E4 C6:E10 C12:E22 C24:E28 C30:E33">
    <cfRule type="expression" dxfId="960" priority="26">
      <formula>OR(IF($E3="Hela hallen",1))</formula>
    </cfRule>
  </conditionalFormatting>
  <conditionalFormatting sqref="L1:T1048576">
    <cfRule type="cellIs" dxfId="959" priority="21" operator="equal">
      <formula>"-"</formula>
    </cfRule>
  </conditionalFormatting>
  <conditionalFormatting sqref="A18 A24 A30">
    <cfRule type="expression" dxfId="958" priority="1192">
      <formula>OR(IF(#REF!="Dag",1))</formula>
    </cfRule>
  </conditionalFormatting>
  <conditionalFormatting sqref="B18 B24 B30 B32">
    <cfRule type="expression" dxfId="957" priority="1196">
      <formula>OR(IF(#REF!="Datum",1))</formula>
    </cfRule>
  </conditionalFormatting>
  <conditionalFormatting sqref="C5:E5">
    <cfRule type="expression" dxfId="956" priority="7">
      <formula>OR(IF($E5="Hela hallen",1))</formula>
    </cfRule>
  </conditionalFormatting>
  <conditionalFormatting sqref="C11:E11">
    <cfRule type="expression" dxfId="955" priority="5">
      <formula>OR(IF($E11="Hela hallen",1))</formula>
    </cfRule>
  </conditionalFormatting>
  <conditionalFormatting sqref="C23:E23">
    <cfRule type="expression" dxfId="954" priority="3">
      <formula>OR(IF($E23="Hela hallen",1))</formula>
    </cfRule>
  </conditionalFormatting>
  <conditionalFormatting sqref="C29:E29">
    <cfRule type="expression" dxfId="953" priority="1">
      <formula>OR(IF($E29="Hela hallen",1))</formula>
    </cfRule>
  </conditionalFormatting>
  <conditionalFormatting sqref="C3:F33">
    <cfRule type="expression" dxfId="952" priority="2419">
      <formula>OR(IF(#REF!=TRUE,1))</formula>
    </cfRule>
  </conditionalFormatting>
  <conditionalFormatting sqref="A6 A12">
    <cfRule type="expression" dxfId="951" priority="2420">
      <formula>OR(IF(#REF!="Dag",1))</formula>
    </cfRule>
  </conditionalFormatting>
  <conditionalFormatting sqref="B6 B12">
    <cfRule type="expression" dxfId="950" priority="2422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D4CE7256-62EC-4E7E-B639-183BB645696F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A3:B5 A7:B11 A13:B17 A19:B23 A25:B29 A31:B31 A33:B33</xm:sqref>
        </x14:conditionalFormatting>
        <x14:conditionalFormatting xmlns:xm="http://schemas.microsoft.com/office/excel/2006/main">
          <x14:cfRule type="expression" priority="2431" id="{9B1C627E-6D7C-4E51-97B6-70C3AEA90350}">
            <xm:f>AND(IF(ISERROR(MATCH($B6,Kalenderår!$A$3:$A$17,0)),FALSE,TRUE), IF(#REF!="Datum",TRUE,FALSE), IF(#REF!="Dag",TRUE,FALSE))</xm:f>
            <x14:dxf>
              <font>
                <color rgb="FFC00000"/>
              </font>
            </x14:dxf>
          </x14:cfRule>
          <xm:sqref>A6:B6 A12:B12 A18:B18 A24:B24 A30:B30 A32:B32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EEAAAC-0E8E-4716-A11F-3F06E071E27B}">
          <x14:formula1>
            <xm:f>Kontaktuppgifter!$A$2:$A$300</xm:f>
          </x14:formula1>
          <xm:sqref>F13:F17 F3:F5 F7:F11 F19:F23 F31 F33 F25:F29</xm:sqref>
        </x14:dataValidation>
        <x14:dataValidation type="list" allowBlank="1" showInputMessage="1" showErrorMessage="1" xr:uid="{DDCD2F20-6548-4E09-BD5A-2456C0A31465}">
          <x14:formula1>
            <xm:f>Listor!$A$2:$A$150</xm:f>
          </x14:formula1>
          <xm:sqref>E13:E17 E3:E5 E7:E11 E19:E23 E31 E33 E25:E29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7C6D-03DC-4982-8224-C45460660A7E}">
  <sheetPr codeName="Blad43"/>
  <dimension ref="A1:Y36"/>
  <sheetViews>
    <sheetView showGridLines="0" zoomScaleNormal="100" workbookViewId="0">
      <pane ySplit="2" topLeftCell="A3" activePane="bottomLeft" state="frozen"/>
      <selection activeCell="C4" sqref="C4:G4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Måndag42</f>
        <v>45943</v>
      </c>
      <c r="W1" s="39">
        <f>Söndag42</f>
        <v>45949</v>
      </c>
      <c r="X1" s="40">
        <f>WEEKNUM(Söndag42, 2)</f>
        <v>42</v>
      </c>
      <c r="Y1" s="41" t="str">
        <f>"V. "&amp;X1&amp;", "&amp;TEXT(V1,"D MMM")&amp;"-"&amp;TEXT(W1,"D MMM")</f>
        <v>V. 42, 13 okt-19 okt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Måndag42</f>
        <v>45943</v>
      </c>
      <c r="C3" s="46">
        <v>0.35416666666666669</v>
      </c>
      <c r="D3" s="47">
        <v>0.39583333333333331</v>
      </c>
      <c r="E3" s="48" t="s">
        <v>128</v>
      </c>
      <c r="F3" s="49" t="s">
        <v>467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0.70833333333333337</v>
      </c>
      <c r="D4" s="47">
        <v>0.83333333333333337</v>
      </c>
      <c r="E4" s="48"/>
      <c r="F4" s="49" t="s">
        <v>887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s="10" customFormat="1" ht="20.100000000000001" hidden="1" customHeight="1" x14ac:dyDescent="0.3">
      <c r="A5" s="91" t="s">
        <v>0</v>
      </c>
      <c r="B5" s="93" t="s">
        <v>1</v>
      </c>
      <c r="C5" s="50" t="s">
        <v>838</v>
      </c>
      <c r="D5" s="51" t="s">
        <v>2</v>
      </c>
      <c r="E5" s="52" t="s">
        <v>3</v>
      </c>
      <c r="F5" s="53" t="s">
        <v>4</v>
      </c>
    </row>
    <row r="6" spans="1:25" ht="15" customHeight="1" x14ac:dyDescent="0.3">
      <c r="A6" s="91" t="str">
        <f t="shared" ref="A6" si="2">PROPER(TEXT(B6, "dddd"))</f>
        <v>Tisdag</v>
      </c>
      <c r="B6" s="93">
        <f t="shared" ref="B6" si="3">Tisdag42</f>
        <v>45944</v>
      </c>
      <c r="C6" s="46">
        <v>0.33333333333333331</v>
      </c>
      <c r="D6" s="54">
        <v>0.39583333333333331</v>
      </c>
      <c r="E6" s="55"/>
      <c r="F6" s="56" t="s">
        <v>522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0.35416666666666669</v>
      </c>
      <c r="D7" s="54">
        <v>0.39583333333333331</v>
      </c>
      <c r="E7" s="55" t="s">
        <v>128</v>
      </c>
      <c r="F7" s="56" t="s">
        <v>467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0.375</v>
      </c>
      <c r="D8" s="54">
        <v>0.44791666666666669</v>
      </c>
      <c r="E8" s="55"/>
      <c r="F8" s="56" t="s">
        <v>521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0.5625</v>
      </c>
      <c r="D9" s="54">
        <v>0.64583333333333337</v>
      </c>
      <c r="E9" s="55"/>
      <c r="F9" s="56" t="s">
        <v>601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0.70833333333333337</v>
      </c>
      <c r="D10" s="47">
        <v>0.83333333333333337</v>
      </c>
      <c r="E10" s="48"/>
      <c r="F10" s="49" t="s">
        <v>887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s="10" customFormat="1" ht="20.100000000000001" hidden="1" customHeight="1" x14ac:dyDescent="0.3">
      <c r="A11" s="91" t="s">
        <v>0</v>
      </c>
      <c r="B11" s="93" t="s">
        <v>1</v>
      </c>
      <c r="C11" s="50" t="s">
        <v>838</v>
      </c>
      <c r="D11" s="51" t="s">
        <v>2</v>
      </c>
      <c r="E11" s="52" t="s">
        <v>3</v>
      </c>
      <c r="F11" s="53" t="s">
        <v>4</v>
      </c>
    </row>
    <row r="12" spans="1:25" ht="15" customHeight="1" x14ac:dyDescent="0.3">
      <c r="A12" s="91" t="str">
        <f t="shared" ref="A12" si="4">PROPER(TEXT(B12, "dddd"))</f>
        <v>Onsdag</v>
      </c>
      <c r="B12" s="93">
        <f t="shared" ref="B12" si="5">Onsdag42</f>
        <v>45945</v>
      </c>
      <c r="C12" s="46">
        <v>0.375</v>
      </c>
      <c r="D12" s="54">
        <v>0.45833333333333331</v>
      </c>
      <c r="E12" s="55"/>
      <c r="F12" s="56" t="s">
        <v>752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0.41666666666666669</v>
      </c>
      <c r="D13" s="54">
        <v>0.5</v>
      </c>
      <c r="E13" s="55"/>
      <c r="F13" s="56" t="s">
        <v>657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0.55555555555555558</v>
      </c>
      <c r="D14" s="54">
        <v>0.63888888888888884</v>
      </c>
      <c r="E14" s="55"/>
      <c r="F14" s="56" t="s">
        <v>28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0.55555555555555558</v>
      </c>
      <c r="D15" s="54">
        <v>0.63888888888888884</v>
      </c>
      <c r="E15" s="55"/>
      <c r="F15" s="56" t="s">
        <v>791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0.70833333333333337</v>
      </c>
      <c r="D16" s="54">
        <v>0.83333333333333337</v>
      </c>
      <c r="E16" s="55"/>
      <c r="F16" s="56" t="s">
        <v>887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hidden="1" customHeight="1" x14ac:dyDescent="0.3">
      <c r="A17" s="91" t="s">
        <v>0</v>
      </c>
      <c r="B17" s="93" t="s">
        <v>1</v>
      </c>
      <c r="C17" s="50" t="s">
        <v>838</v>
      </c>
      <c r="D17" s="51" t="s">
        <v>2</v>
      </c>
      <c r="E17" s="52" t="s">
        <v>3</v>
      </c>
      <c r="F17" s="53" t="s">
        <v>4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 t="str">
        <f t="shared" ref="A18" si="6">PROPER(TEXT(B18, "dddd"))</f>
        <v>Torsdag</v>
      </c>
      <c r="B18" s="93">
        <f t="shared" ref="B18" si="7">Torsdag42</f>
        <v>45946</v>
      </c>
      <c r="C18" s="46">
        <v>0.35416666666666669</v>
      </c>
      <c r="D18" s="54">
        <v>0.39583333333333331</v>
      </c>
      <c r="E18" s="55" t="s">
        <v>128</v>
      </c>
      <c r="F18" s="56" t="s">
        <v>467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0.375</v>
      </c>
      <c r="D19" s="54">
        <v>0.4375</v>
      </c>
      <c r="E19" s="55"/>
      <c r="F19" s="56" t="s">
        <v>521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0.41666666666666669</v>
      </c>
      <c r="D20" s="54">
        <v>0.5</v>
      </c>
      <c r="E20" s="55"/>
      <c r="F20" s="56" t="s">
        <v>252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/>
      <c r="B21" s="93"/>
      <c r="C21" s="46">
        <v>0.5625</v>
      </c>
      <c r="D21" s="54">
        <v>0.64583333333333337</v>
      </c>
      <c r="E21" s="55"/>
      <c r="F21" s="56" t="s">
        <v>230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0.70833333333333337</v>
      </c>
      <c r="D22" s="47">
        <v>0.83333333333333337</v>
      </c>
      <c r="E22" s="48"/>
      <c r="F22" s="49" t="s">
        <v>887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hidden="1" customHeight="1" x14ac:dyDescent="0.3">
      <c r="A23" s="91" t="s">
        <v>0</v>
      </c>
      <c r="B23" s="93" t="s">
        <v>1</v>
      </c>
      <c r="C23" s="50" t="s">
        <v>838</v>
      </c>
      <c r="D23" s="51" t="s">
        <v>2</v>
      </c>
      <c r="E23" s="52" t="s">
        <v>3</v>
      </c>
      <c r="F23" s="53" t="s">
        <v>4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 t="str">
        <f t="shared" ref="A24" si="8">PROPER(TEXT(B24, "dddd"))</f>
        <v>Fredag</v>
      </c>
      <c r="B24" s="93">
        <f t="shared" ref="B24" si="9">Fredag42</f>
        <v>45947</v>
      </c>
      <c r="C24" s="46">
        <v>0.35416666666666669</v>
      </c>
      <c r="D24" s="54">
        <v>0.39583333333333331</v>
      </c>
      <c r="E24" s="55" t="s">
        <v>128</v>
      </c>
      <c r="F24" s="56" t="s">
        <v>467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/>
      <c r="B25" s="93"/>
      <c r="C25" s="46">
        <v>0.375</v>
      </c>
      <c r="D25" s="54">
        <v>0.4375</v>
      </c>
      <c r="E25" s="55"/>
      <c r="F25" s="56" t="s">
        <v>521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0.41666666666666669</v>
      </c>
      <c r="D26" s="54">
        <v>0.5</v>
      </c>
      <c r="E26" s="55"/>
      <c r="F26" s="56" t="s">
        <v>643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/>
      <c r="B27" s="93"/>
      <c r="C27" s="46">
        <v>0.45833333333333331</v>
      </c>
      <c r="D27" s="54">
        <v>0.54166666666666663</v>
      </c>
      <c r="E27" s="55"/>
      <c r="F27" s="56" t="s">
        <v>815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0.70833333333333337</v>
      </c>
      <c r="D28" s="47">
        <v>0.83333333333333337</v>
      </c>
      <c r="E28" s="48"/>
      <c r="F28" s="49" t="s">
        <v>887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hidden="1" customHeight="1" x14ac:dyDescent="0.3">
      <c r="A29" s="91" t="s">
        <v>0</v>
      </c>
      <c r="B29" s="93" t="s">
        <v>1</v>
      </c>
      <c r="C29" s="50" t="s">
        <v>838</v>
      </c>
      <c r="D29" s="51" t="s">
        <v>2</v>
      </c>
      <c r="E29" s="52" t="s">
        <v>3</v>
      </c>
      <c r="F29" s="53" t="s">
        <v>4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91" t="str">
        <f t="shared" ref="A30" si="10">PROPER(TEXT(B30, "dddd"))</f>
        <v>Lördag</v>
      </c>
      <c r="B30" s="93">
        <f t="shared" ref="B30" si="11">Lördag42</f>
        <v>45948</v>
      </c>
      <c r="C30" s="46">
        <v>0.375</v>
      </c>
      <c r="D30" s="54">
        <v>0.625</v>
      </c>
      <c r="E30" s="55"/>
      <c r="F30" s="56" t="s">
        <v>887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hidden="1" customHeight="1" x14ac:dyDescent="0.3">
      <c r="A31" s="91" t="s">
        <v>0</v>
      </c>
      <c r="B31" s="93" t="s">
        <v>1</v>
      </c>
      <c r="C31" s="50" t="s">
        <v>838</v>
      </c>
      <c r="D31" s="51" t="s">
        <v>2</v>
      </c>
      <c r="E31" s="52" t="s">
        <v>3</v>
      </c>
      <c r="F31" s="53" t="s">
        <v>4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91" t="str">
        <f t="shared" ref="A32" si="12">PROPER(TEXT(B32, "dddd"))</f>
        <v>Söndag</v>
      </c>
      <c r="B32" s="93">
        <f t="shared" ref="B32" si="13">Söndag42</f>
        <v>45949</v>
      </c>
      <c r="C32" s="46">
        <v>0.375</v>
      </c>
      <c r="D32" s="54">
        <v>0.79166666666666663</v>
      </c>
      <c r="E32" s="55"/>
      <c r="F32" s="56" t="s">
        <v>887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4" spans="3:4" ht="15" customHeight="1" x14ac:dyDescent="0.3">
      <c r="C34" s="46"/>
      <c r="D34" s="47"/>
    </row>
    <row r="35" spans="3:4" ht="15" customHeight="1" x14ac:dyDescent="0.3">
      <c r="C35" s="46"/>
      <c r="D35" s="8"/>
    </row>
    <row r="36" spans="3:4" ht="15" customHeight="1" x14ac:dyDescent="0.3">
      <c r="C36" s="46"/>
      <c r="D36" s="8"/>
    </row>
  </sheetData>
  <sheetProtection algorithmName="SHA-512" hashValue="0bng2gXBypbObipimMn3tMacIRYs9fiF3y6fcAtjWKVooCE3dtvou8/VwejYpO9KSSJrjXzms9NCA3W1qbA59w==" saltValue="SeMmC4Dn6bIiyD1difh5+w==" spinCount="100000" sheet="1" objects="1" scenarios="1" autoFilter="0" pivotTables="0"/>
  <sortState xmlns:xlrd2="http://schemas.microsoft.com/office/spreadsheetml/2017/richdata2" ref="A12:F16">
    <sortCondition ref="C12:C16"/>
  </sortState>
  <conditionalFormatting sqref="A3:A4 A6:A10 A18:A22 A24:A28 A30 A32 A12:A16">
    <cfRule type="cellIs" dxfId="891" priority="9" operator="equal">
      <formula>"Datum"</formula>
    </cfRule>
    <cfRule type="cellIs" dxfId="890" priority="10" operator="equal">
      <formula>"Dag"</formula>
    </cfRule>
    <cfRule type="expression" dxfId="889" priority="12">
      <formula>OR(IF($A2="Dag",1))</formula>
    </cfRule>
  </conditionalFormatting>
  <conditionalFormatting sqref="A31">
    <cfRule type="expression" dxfId="888" priority="30">
      <formula>OR(IF(#REF!="Dag",1))</formula>
    </cfRule>
  </conditionalFormatting>
  <conditionalFormatting sqref="A1:B2 B3:B4 A5:B5 B6:B10 A11:B11 A17:B17 B18:B22 A23:B23 B24:B28 A29:B29 B30 A31:B31 B32 A33:B1048576 B12:B16">
    <cfRule type="cellIs" dxfId="887" priority="22" operator="equal">
      <formula>"Datum"</formula>
    </cfRule>
    <cfRule type="cellIs" dxfId="886" priority="23" operator="equal">
      <formula>"Dag"</formula>
    </cfRule>
  </conditionalFormatting>
  <conditionalFormatting sqref="B3:B4 B6:B10 B12:B16 B18:B22 B24:B28 B30 B32">
    <cfRule type="expression" dxfId="885" priority="29">
      <formula>OR(IF($B2="Datum",1))</formula>
    </cfRule>
  </conditionalFormatting>
  <conditionalFormatting sqref="C3:E3 C5:E9 C11:E21 C23:E27 C29:E32">
    <cfRule type="expression" dxfId="884" priority="26">
      <formula>OR(IF($E3="Hela hallen",1))</formula>
    </cfRule>
  </conditionalFormatting>
  <conditionalFormatting sqref="L1:T1048576">
    <cfRule type="cellIs" dxfId="883" priority="21" operator="equal">
      <formula>"-"</formula>
    </cfRule>
  </conditionalFormatting>
  <conditionalFormatting sqref="A17 A23 A29">
    <cfRule type="expression" dxfId="882" priority="1209">
      <formula>OR(IF(#REF!="Dag",1))</formula>
    </cfRule>
  </conditionalFormatting>
  <conditionalFormatting sqref="B17 B23 B29 B31">
    <cfRule type="expression" dxfId="881" priority="1213">
      <formula>OR(IF(#REF!="Datum",1))</formula>
    </cfRule>
  </conditionalFormatting>
  <conditionalFormatting sqref="C4:E4">
    <cfRule type="expression" dxfId="880" priority="7">
      <formula>OR(IF($E4="Hela hallen",1))</formula>
    </cfRule>
  </conditionalFormatting>
  <conditionalFormatting sqref="C10:E10">
    <cfRule type="expression" dxfId="879" priority="5">
      <formula>OR(IF($E10="Hela hallen",1))</formula>
    </cfRule>
  </conditionalFormatting>
  <conditionalFormatting sqref="C22:E22">
    <cfRule type="expression" dxfId="878" priority="3">
      <formula>OR(IF($E22="Hela hallen",1))</formula>
    </cfRule>
  </conditionalFormatting>
  <conditionalFormatting sqref="C28:E28">
    <cfRule type="expression" dxfId="877" priority="1">
      <formula>OR(IF($E28="Hela hallen",1))</formula>
    </cfRule>
  </conditionalFormatting>
  <conditionalFormatting sqref="C3:F32">
    <cfRule type="expression" dxfId="876" priority="2432">
      <formula>OR(IF(#REF!=TRUE,1))</formula>
    </cfRule>
  </conditionalFormatting>
  <conditionalFormatting sqref="A5 A11">
    <cfRule type="expression" dxfId="875" priority="2433">
      <formula>OR(IF(#REF!="Dag",1))</formula>
    </cfRule>
  </conditionalFormatting>
  <conditionalFormatting sqref="B5 B11">
    <cfRule type="expression" dxfId="874" priority="2435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0F115269-4340-468F-B348-3773DB9B20A7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A3:B4 A6:B10 A12:B16 A18:B22 A24:B28 A30:B30 A32:B32</xm:sqref>
        </x14:conditionalFormatting>
        <x14:conditionalFormatting xmlns:xm="http://schemas.microsoft.com/office/excel/2006/main">
          <x14:cfRule type="expression" priority="2444" id="{2C363266-2396-4930-8453-EA812B79E30D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 A11:B11 A17:B17 A23:B23 A29:B29 A31:B31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90814A-78C7-4264-8B0D-B0DF2BD70710}">
          <x14:formula1>
            <xm:f>Listor!$A$2:$A$150</xm:f>
          </x14:formula1>
          <xm:sqref>E12:E16 E3:E4 E6:E10 E18:E22 E30 E32 E24:E28</xm:sqref>
        </x14:dataValidation>
        <x14:dataValidation type="list" allowBlank="1" showInputMessage="1" showErrorMessage="1" xr:uid="{FCBAA5CB-09D4-473D-9401-8CEDBC4D68B3}">
          <x14:formula1>
            <xm:f>Kontaktuppgifter!$A$2:$A$300</xm:f>
          </x14:formula1>
          <xm:sqref>F12:F16 F3:F4 F6:F10 F18:F22 F30 F32 F24:F28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F11E-0FEB-42FE-968E-FC596A46ABB1}">
  <sheetPr codeName="Blad44"/>
  <dimension ref="A1:Y36"/>
  <sheetViews>
    <sheetView showGridLines="0" zoomScaleNormal="100" workbookViewId="0">
      <pane ySplit="2" topLeftCell="A3" activePane="bottomLeft" state="frozen"/>
      <selection activeCell="C4" sqref="C4:G4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Måndag43</f>
        <v>45950</v>
      </c>
      <c r="W1" s="39">
        <f>Söndag43</f>
        <v>45956</v>
      </c>
      <c r="X1" s="40">
        <f>WEEKNUM(Söndag43, 2)</f>
        <v>43</v>
      </c>
      <c r="Y1" s="41" t="str">
        <f>"V. "&amp;X1&amp;", "&amp;TEXT(V1,"D MMM")&amp;"-"&amp;TEXT(W1,"D MMM")</f>
        <v>V. 43, 20 okt-26 okt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Måndag43</f>
        <v>45950</v>
      </c>
      <c r="C3" s="46">
        <v>0.35416666666666669</v>
      </c>
      <c r="D3" s="47">
        <v>0.39583333333333331</v>
      </c>
      <c r="E3" s="48" t="s">
        <v>128</v>
      </c>
      <c r="F3" s="49" t="s">
        <v>467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0.70833333333333337</v>
      </c>
      <c r="D4" s="47">
        <v>0.83333333333333337</v>
      </c>
      <c r="E4" s="48"/>
      <c r="F4" s="49" t="s">
        <v>887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s="10" customFormat="1" ht="20.100000000000001" hidden="1" customHeight="1" x14ac:dyDescent="0.3">
      <c r="A5" s="91" t="s">
        <v>0</v>
      </c>
      <c r="B5" s="93" t="s">
        <v>1</v>
      </c>
      <c r="C5" s="50" t="s">
        <v>838</v>
      </c>
      <c r="D5" s="51" t="s">
        <v>2</v>
      </c>
      <c r="E5" s="52" t="s">
        <v>3</v>
      </c>
      <c r="F5" s="53" t="s">
        <v>4</v>
      </c>
    </row>
    <row r="6" spans="1:25" ht="15" customHeight="1" x14ac:dyDescent="0.3">
      <c r="A6" s="91" t="str">
        <f t="shared" ref="A6" si="2">PROPER(TEXT(B6, "dddd"))</f>
        <v>Tisdag</v>
      </c>
      <c r="B6" s="93">
        <f t="shared" ref="B6" si="3">Tisdag43</f>
        <v>45951</v>
      </c>
      <c r="C6" s="46">
        <v>0.33333333333333331</v>
      </c>
      <c r="D6" s="54">
        <v>0.39583333333333331</v>
      </c>
      <c r="E6" s="55"/>
      <c r="F6" s="56" t="s">
        <v>522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0.35416666666666669</v>
      </c>
      <c r="D7" s="54">
        <v>0.39583333333333331</v>
      </c>
      <c r="E7" s="55" t="s">
        <v>128</v>
      </c>
      <c r="F7" s="56" t="s">
        <v>467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0.375</v>
      </c>
      <c r="D8" s="54">
        <v>0.44791666666666669</v>
      </c>
      <c r="E8" s="55"/>
      <c r="F8" s="56" t="s">
        <v>521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0.5625</v>
      </c>
      <c r="D9" s="54">
        <v>0.64583333333333337</v>
      </c>
      <c r="E9" s="55"/>
      <c r="F9" s="56" t="s">
        <v>601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0.70833333333333337</v>
      </c>
      <c r="D10" s="47">
        <v>0.83333333333333337</v>
      </c>
      <c r="E10" s="48"/>
      <c r="F10" s="49" t="s">
        <v>887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s="10" customFormat="1" ht="20.100000000000001" hidden="1" customHeight="1" x14ac:dyDescent="0.3">
      <c r="A11" s="91" t="s">
        <v>0</v>
      </c>
      <c r="B11" s="93" t="s">
        <v>1</v>
      </c>
      <c r="C11" s="50" t="s">
        <v>838</v>
      </c>
      <c r="D11" s="51" t="s">
        <v>2</v>
      </c>
      <c r="E11" s="52" t="s">
        <v>3</v>
      </c>
      <c r="F11" s="53" t="s">
        <v>4</v>
      </c>
    </row>
    <row r="12" spans="1:25" ht="15" customHeight="1" x14ac:dyDescent="0.3">
      <c r="A12" s="91" t="str">
        <f t="shared" ref="A12" si="4">PROPER(TEXT(B12, "dddd"))</f>
        <v>Onsdag</v>
      </c>
      <c r="B12" s="93">
        <f t="shared" ref="B12" si="5">Onsdag43</f>
        <v>45952</v>
      </c>
      <c r="C12" s="46">
        <v>0.375</v>
      </c>
      <c r="D12" s="54">
        <v>0.45833333333333331</v>
      </c>
      <c r="E12" s="55"/>
      <c r="F12" s="56" t="s">
        <v>752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0.41666666666666669</v>
      </c>
      <c r="D13" s="54">
        <v>0.5</v>
      </c>
      <c r="E13" s="55"/>
      <c r="F13" s="56" t="s">
        <v>657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0.55555555555555558</v>
      </c>
      <c r="D14" s="54">
        <v>0.63888888888888884</v>
      </c>
      <c r="E14" s="55"/>
      <c r="F14" s="56" t="s">
        <v>28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0.55555555555555558</v>
      </c>
      <c r="D15" s="54">
        <v>0.63888888888888884</v>
      </c>
      <c r="E15" s="55"/>
      <c r="F15" s="56" t="s">
        <v>791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0.70833333333333337</v>
      </c>
      <c r="D16" s="54">
        <v>0.83333333333333337</v>
      </c>
      <c r="E16" s="55"/>
      <c r="F16" s="56" t="s">
        <v>887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hidden="1" customHeight="1" x14ac:dyDescent="0.3">
      <c r="A17" s="91" t="s">
        <v>0</v>
      </c>
      <c r="B17" s="93" t="s">
        <v>1</v>
      </c>
      <c r="C17" s="50" t="s">
        <v>838</v>
      </c>
      <c r="D17" s="51" t="s">
        <v>2</v>
      </c>
      <c r="E17" s="52" t="s">
        <v>3</v>
      </c>
      <c r="F17" s="53" t="s">
        <v>4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 t="str">
        <f t="shared" ref="A18" si="6">PROPER(TEXT(B18, "dddd"))</f>
        <v>Torsdag</v>
      </c>
      <c r="B18" s="93">
        <f t="shared" ref="B18" si="7">Torsdag43</f>
        <v>45953</v>
      </c>
      <c r="C18" s="46">
        <v>0.35416666666666669</v>
      </c>
      <c r="D18" s="54">
        <v>0.39583333333333331</v>
      </c>
      <c r="E18" s="55" t="s">
        <v>128</v>
      </c>
      <c r="F18" s="56" t="s">
        <v>467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0.375</v>
      </c>
      <c r="D19" s="54">
        <v>0.4375</v>
      </c>
      <c r="E19" s="55"/>
      <c r="F19" s="56" t="s">
        <v>521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0.41666666666666669</v>
      </c>
      <c r="D20" s="54">
        <v>0.5</v>
      </c>
      <c r="E20" s="55"/>
      <c r="F20" s="56" t="s">
        <v>252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/>
      <c r="B21" s="93"/>
      <c r="C21" s="46">
        <v>0.5625</v>
      </c>
      <c r="D21" s="54">
        <v>0.64583333333333337</v>
      </c>
      <c r="E21" s="55"/>
      <c r="F21" s="56" t="s">
        <v>230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0.70833333333333337</v>
      </c>
      <c r="D22" s="47">
        <v>0.83333333333333337</v>
      </c>
      <c r="E22" s="48"/>
      <c r="F22" s="49" t="s">
        <v>887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hidden="1" customHeight="1" x14ac:dyDescent="0.3">
      <c r="A23" s="91" t="s">
        <v>0</v>
      </c>
      <c r="B23" s="93" t="s">
        <v>1</v>
      </c>
      <c r="C23" s="50" t="s">
        <v>838</v>
      </c>
      <c r="D23" s="51" t="s">
        <v>2</v>
      </c>
      <c r="E23" s="52" t="s">
        <v>3</v>
      </c>
      <c r="F23" s="53" t="s">
        <v>4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 t="str">
        <f t="shared" ref="A24" si="8">PROPER(TEXT(B24, "dddd"))</f>
        <v>Fredag</v>
      </c>
      <c r="B24" s="93">
        <f t="shared" ref="B24" si="9">Fredag43</f>
        <v>45954</v>
      </c>
      <c r="C24" s="46">
        <v>0.35416666666666669</v>
      </c>
      <c r="D24" s="54">
        <v>0.39583333333333331</v>
      </c>
      <c r="E24" s="55" t="s">
        <v>128</v>
      </c>
      <c r="F24" s="56" t="s">
        <v>467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/>
      <c r="B25" s="93"/>
      <c r="C25" s="46">
        <v>0.375</v>
      </c>
      <c r="D25" s="54">
        <v>0.4375</v>
      </c>
      <c r="E25" s="55"/>
      <c r="F25" s="56" t="s">
        <v>521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0.41666666666666669</v>
      </c>
      <c r="D26" s="54">
        <v>0.5</v>
      </c>
      <c r="E26" s="55"/>
      <c r="F26" s="56" t="s">
        <v>643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/>
      <c r="B27" s="93"/>
      <c r="C27" s="46">
        <v>0.45833333333333331</v>
      </c>
      <c r="D27" s="54">
        <v>0.54166666666666663</v>
      </c>
      <c r="E27" s="55"/>
      <c r="F27" s="56" t="s">
        <v>815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/>
      <c r="B28" s="93"/>
      <c r="C28" s="46">
        <v>0.70833333333333337</v>
      </c>
      <c r="D28" s="47">
        <v>0.83333333333333337</v>
      </c>
      <c r="E28" s="48"/>
      <c r="F28" s="49" t="s">
        <v>887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hidden="1" customHeight="1" x14ac:dyDescent="0.3">
      <c r="A29" s="91" t="s">
        <v>0</v>
      </c>
      <c r="B29" s="93" t="s">
        <v>1</v>
      </c>
      <c r="C29" s="50" t="s">
        <v>838</v>
      </c>
      <c r="D29" s="51" t="s">
        <v>2</v>
      </c>
      <c r="E29" s="52" t="s">
        <v>3</v>
      </c>
      <c r="F29" s="53" t="s">
        <v>4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91" t="str">
        <f t="shared" ref="A30" si="10">PROPER(TEXT(B30, "dddd"))</f>
        <v>Lördag</v>
      </c>
      <c r="B30" s="93">
        <f t="shared" ref="B30" si="11">Lördag43</f>
        <v>45955</v>
      </c>
      <c r="C30" s="46">
        <v>0.375</v>
      </c>
      <c r="D30" s="54">
        <v>0.625</v>
      </c>
      <c r="E30" s="55"/>
      <c r="F30" s="56" t="s">
        <v>887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hidden="1" customHeight="1" x14ac:dyDescent="0.3">
      <c r="A31" s="91" t="s">
        <v>0</v>
      </c>
      <c r="B31" s="93" t="s">
        <v>1</v>
      </c>
      <c r="C31" s="50" t="s">
        <v>838</v>
      </c>
      <c r="D31" s="51" t="s">
        <v>2</v>
      </c>
      <c r="E31" s="52" t="s">
        <v>3</v>
      </c>
      <c r="F31" s="53" t="s">
        <v>4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91" t="str">
        <f t="shared" ref="A32" si="12">PROPER(TEXT(B32, "dddd"))</f>
        <v>Söndag</v>
      </c>
      <c r="B32" s="93">
        <f t="shared" ref="B32" si="13">Söndag43</f>
        <v>45956</v>
      </c>
      <c r="C32" s="46">
        <v>0.375</v>
      </c>
      <c r="D32" s="54">
        <v>0.79166666666666663</v>
      </c>
      <c r="E32" s="55"/>
      <c r="F32" s="56" t="s">
        <v>887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4" spans="3:4" ht="15" customHeight="1" x14ac:dyDescent="0.3">
      <c r="C34" s="46"/>
      <c r="D34" s="47"/>
    </row>
    <row r="35" spans="3:4" ht="15" customHeight="1" x14ac:dyDescent="0.3">
      <c r="C35" s="46"/>
      <c r="D35" s="8"/>
    </row>
    <row r="36" spans="3:4" ht="15" customHeight="1" x14ac:dyDescent="0.3">
      <c r="C36" s="46"/>
      <c r="D36" s="8"/>
    </row>
  </sheetData>
  <sheetProtection algorithmName="SHA-512" hashValue="gnjki8Z970hBSb6A6GRPfshwQ05P/NqgtDMG3kNaVvanhmFSOSggeuKGkciatHk6BcjXHPihCxl7wbGDvKQvUw==" saltValue="pUxDHD9ZkBOpvCkf0jE9Uw==" spinCount="100000" sheet="1" objects="1" scenarios="1" autoFilter="0" pivotTables="0"/>
  <sortState xmlns:xlrd2="http://schemas.microsoft.com/office/spreadsheetml/2017/richdata2" ref="A12:F16">
    <sortCondition ref="C12:C16"/>
  </sortState>
  <conditionalFormatting sqref="A3:A4 A6:A10 A18:A22 A24:A28 A30 A32 A12:A16">
    <cfRule type="cellIs" dxfId="815" priority="9" operator="equal">
      <formula>"Datum"</formula>
    </cfRule>
    <cfRule type="cellIs" dxfId="814" priority="10" operator="equal">
      <formula>"Dag"</formula>
    </cfRule>
    <cfRule type="expression" dxfId="813" priority="12">
      <formula>OR(IF($A2="Dag",1))</formula>
    </cfRule>
  </conditionalFormatting>
  <conditionalFormatting sqref="A31">
    <cfRule type="expression" dxfId="812" priority="30">
      <formula>OR(IF(#REF!="Dag",1))</formula>
    </cfRule>
  </conditionalFormatting>
  <conditionalFormatting sqref="A1:B2 B3:B4 A5:B5 B6:B10 A11:B11 A17:B17 B18:B22 A23:B23 B24:B28 A29:B29 B30 A31:B31 B32 A33:B1048576 B12:B16">
    <cfRule type="cellIs" dxfId="811" priority="22" operator="equal">
      <formula>"Datum"</formula>
    </cfRule>
    <cfRule type="cellIs" dxfId="810" priority="23" operator="equal">
      <formula>"Dag"</formula>
    </cfRule>
  </conditionalFormatting>
  <conditionalFormatting sqref="B3:B4 B6:B10 B12:B16 B18:B22 B24:B28 B30 B32">
    <cfRule type="expression" dxfId="809" priority="29">
      <formula>OR(IF($B2="Datum",1))</formula>
    </cfRule>
  </conditionalFormatting>
  <conditionalFormatting sqref="C3:E3 C5:E9 C11:E21 C23:E27 C29:E32">
    <cfRule type="expression" dxfId="808" priority="26">
      <formula>OR(IF($E3="Hela hallen",1))</formula>
    </cfRule>
  </conditionalFormatting>
  <conditionalFormatting sqref="L1:T1048576">
    <cfRule type="cellIs" dxfId="807" priority="21" operator="equal">
      <formula>"-"</formula>
    </cfRule>
  </conditionalFormatting>
  <conditionalFormatting sqref="A17 A23 A29">
    <cfRule type="expression" dxfId="806" priority="1226">
      <formula>OR(IF(#REF!="Dag",1))</formula>
    </cfRule>
  </conditionalFormatting>
  <conditionalFormatting sqref="B17 B23 B29 B31">
    <cfRule type="expression" dxfId="805" priority="1230">
      <formula>OR(IF(#REF!="Datum",1))</formula>
    </cfRule>
  </conditionalFormatting>
  <conditionalFormatting sqref="C4:E4">
    <cfRule type="expression" dxfId="804" priority="7">
      <formula>OR(IF($E4="Hela hallen",1))</formula>
    </cfRule>
  </conditionalFormatting>
  <conditionalFormatting sqref="C10:E10">
    <cfRule type="expression" dxfId="803" priority="5">
      <formula>OR(IF($E10="Hela hallen",1))</formula>
    </cfRule>
  </conditionalFormatting>
  <conditionalFormatting sqref="C22:E22">
    <cfRule type="expression" dxfId="802" priority="3">
      <formula>OR(IF($E22="Hela hallen",1))</formula>
    </cfRule>
  </conditionalFormatting>
  <conditionalFormatting sqref="C28:E28">
    <cfRule type="expression" dxfId="801" priority="1">
      <formula>OR(IF($E28="Hela hallen",1))</formula>
    </cfRule>
  </conditionalFormatting>
  <conditionalFormatting sqref="C3:F32">
    <cfRule type="expression" dxfId="800" priority="2445">
      <formula>OR(IF(#REF!=TRUE,1))</formula>
    </cfRule>
  </conditionalFormatting>
  <conditionalFormatting sqref="A5 A11">
    <cfRule type="expression" dxfId="799" priority="2446">
      <formula>OR(IF(#REF!="Dag",1))</formula>
    </cfRule>
  </conditionalFormatting>
  <conditionalFormatting sqref="B5 B11">
    <cfRule type="expression" dxfId="798" priority="2448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5085D558-54DC-4CB4-9990-297A3DCF3A5F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A3:B4 A6:B10 A12:B16 A18:B22 A24:B28 A30:B30 A32:B32</xm:sqref>
        </x14:conditionalFormatting>
        <x14:conditionalFormatting xmlns:xm="http://schemas.microsoft.com/office/excel/2006/main">
          <x14:cfRule type="expression" priority="2457" id="{0C6175C9-2B50-4161-A899-71087932FD4A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 A11:B11 A17:B17 A23:B23 A29:B29 A31:B31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84B1A2-F8B0-4ADD-BBC9-037105F424D0}">
          <x14:formula1>
            <xm:f>Kontaktuppgifter!$A$2:$A$300</xm:f>
          </x14:formula1>
          <xm:sqref>F12:F16 F3:F4 F6:F10 F18:F22 F30 F32 F24:F28</xm:sqref>
        </x14:dataValidation>
        <x14:dataValidation type="list" allowBlank="1" showInputMessage="1" showErrorMessage="1" xr:uid="{D26B21E9-92EB-47C1-99EB-20D3438EBBE2}">
          <x14:formula1>
            <xm:f>Listor!$A$2:$A$150</xm:f>
          </x14:formula1>
          <xm:sqref>E12:E16 E3:E4 E6:E10 E18:E22 E30 E32 E24:E28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B34F-C1AA-4062-9FBC-AD785772B980}">
  <sheetPr codeName="Blad45"/>
  <dimension ref="A1:Y32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Måndag44</f>
        <v>45957</v>
      </c>
      <c r="W1" s="39">
        <f>Söndag44</f>
        <v>45963</v>
      </c>
      <c r="X1" s="40">
        <f>WEEKNUM(Söndag44, 2)</f>
        <v>44</v>
      </c>
      <c r="Y1" s="41" t="str">
        <f>"V. "&amp;X1&amp;", "&amp;TEXT(V1,"D MMM")&amp;"-"&amp;TEXT(W1,"D MMM")</f>
        <v>V. 44, 27 okt-2 nov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Måndag44</f>
        <v>45957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2">PROPER(TEXT(B5, "dddd"))</f>
        <v>Tisdag</v>
      </c>
      <c r="B5" s="93">
        <f t="shared" ref="B5" si="3">Tisdag44</f>
        <v>45958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/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0.5625</v>
      </c>
      <c r="D7" s="54">
        <v>0.64583333333333337</v>
      </c>
      <c r="E7" s="55"/>
      <c r="F7" s="56" t="s">
        <v>601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0.70833333333333337</v>
      </c>
      <c r="D8" s="54">
        <v>0.83333333333333337</v>
      </c>
      <c r="E8" s="55"/>
      <c r="F8" s="56" t="s">
        <v>887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</row>
    <row r="10" spans="1:25" ht="15" customHeight="1" x14ac:dyDescent="0.3">
      <c r="A10" s="91" t="str">
        <f t="shared" ref="A10" si="4">PROPER(TEXT(B10, "dddd"))</f>
        <v>Onsdag</v>
      </c>
      <c r="B10" s="93">
        <f t="shared" ref="B10" si="5">Onsdag44</f>
        <v>45959</v>
      </c>
      <c r="C10" s="46">
        <v>0.375</v>
      </c>
      <c r="D10" s="54">
        <v>0.45833333333333331</v>
      </c>
      <c r="E10" s="55"/>
      <c r="F10" s="56" t="s">
        <v>752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0.41666666666666669</v>
      </c>
      <c r="D11" s="54">
        <v>0.5</v>
      </c>
      <c r="E11" s="55"/>
      <c r="F11" s="56" t="s">
        <v>657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0.55555555555555558</v>
      </c>
      <c r="D12" s="54">
        <v>0.63888888888888884</v>
      </c>
      <c r="E12" s="55"/>
      <c r="F12" s="56" t="s">
        <v>28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0.55555555555555558</v>
      </c>
      <c r="D13" s="54">
        <v>0.63888888888888884</v>
      </c>
      <c r="E13" s="55"/>
      <c r="F13" s="56" t="s">
        <v>791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0.70833333333333337</v>
      </c>
      <c r="D14" s="54">
        <v>0.83333333333333337</v>
      </c>
      <c r="E14" s="55"/>
      <c r="F14" s="56" t="s">
        <v>887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hidden="1" customHeight="1" x14ac:dyDescent="0.3">
      <c r="A15" s="91" t="s">
        <v>0</v>
      </c>
      <c r="B15" s="93" t="s">
        <v>1</v>
      </c>
      <c r="C15" s="50" t="s">
        <v>838</v>
      </c>
      <c r="D15" s="51" t="s">
        <v>2</v>
      </c>
      <c r="E15" s="52" t="s">
        <v>3</v>
      </c>
      <c r="F15" s="53" t="s">
        <v>4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 t="str">
        <f t="shared" ref="A16" si="6">PROPER(TEXT(B16, "dddd"))</f>
        <v>Torsdag</v>
      </c>
      <c r="B16" s="93">
        <f t="shared" ref="B16" si="7">Torsdag44</f>
        <v>45960</v>
      </c>
      <c r="C16" s="46">
        <v>0.375</v>
      </c>
      <c r="D16" s="54">
        <v>0.4375</v>
      </c>
      <c r="E16" s="55"/>
      <c r="F16" s="56" t="s">
        <v>521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0.41666666666666669</v>
      </c>
      <c r="D17" s="54">
        <v>0.5</v>
      </c>
      <c r="E17" s="55"/>
      <c r="F17" s="56" t="s">
        <v>252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0.5625</v>
      </c>
      <c r="D18" s="54">
        <v>0.64583333333333337</v>
      </c>
      <c r="E18" s="55"/>
      <c r="F18" s="56" t="s">
        <v>230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0.70833333333333337</v>
      </c>
      <c r="D19" s="54">
        <v>0.83333333333333337</v>
      </c>
      <c r="E19" s="55"/>
      <c r="F19" s="56" t="s">
        <v>887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hidden="1" customHeight="1" x14ac:dyDescent="0.3">
      <c r="A20" s="91" t="s">
        <v>0</v>
      </c>
      <c r="B20" s="93" t="s">
        <v>1</v>
      </c>
      <c r="C20" s="50" t="s">
        <v>838</v>
      </c>
      <c r="D20" s="51" t="s">
        <v>2</v>
      </c>
      <c r="E20" s="52" t="s">
        <v>3</v>
      </c>
      <c r="F20" s="53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 t="str">
        <f t="shared" ref="A21" si="8">PROPER(TEXT(B21, "dddd"))</f>
        <v>Fredag</v>
      </c>
      <c r="B21" s="93">
        <f t="shared" ref="B21" si="9">Fredag44</f>
        <v>45961</v>
      </c>
      <c r="C21" s="46">
        <v>0.375</v>
      </c>
      <c r="D21" s="54">
        <v>0.4375</v>
      </c>
      <c r="E21" s="55"/>
      <c r="F21" s="56" t="s">
        <v>521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0.41666666666666669</v>
      </c>
      <c r="D22" s="54">
        <v>0.5</v>
      </c>
      <c r="E22" s="55"/>
      <c r="F22" s="56" t="s">
        <v>643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0.45833333333333331</v>
      </c>
      <c r="D23" s="54">
        <v>0.54166666666666663</v>
      </c>
      <c r="E23" s="55"/>
      <c r="F23" s="56" t="s">
        <v>815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0.70833333333333337</v>
      </c>
      <c r="D24" s="54">
        <v>0.83333333333333337</v>
      </c>
      <c r="E24" s="55"/>
      <c r="F24" s="56" t="s">
        <v>887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hidden="1" customHeight="1" x14ac:dyDescent="0.3">
      <c r="A25" s="91" t="s">
        <v>0</v>
      </c>
      <c r="B25" s="93" t="s">
        <v>1</v>
      </c>
      <c r="C25" s="50" t="s">
        <v>838</v>
      </c>
      <c r="D25" s="51" t="s">
        <v>2</v>
      </c>
      <c r="E25" s="52" t="s">
        <v>3</v>
      </c>
      <c r="F25" s="53" t="s">
        <v>4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 t="str">
        <f t="shared" ref="A26" si="10">PROPER(TEXT(B26, "dddd"))</f>
        <v>Lördag</v>
      </c>
      <c r="B26" s="93">
        <f t="shared" ref="B26" si="11">Lördag44</f>
        <v>45962</v>
      </c>
      <c r="C26" s="46">
        <v>0.375</v>
      </c>
      <c r="D26" s="54">
        <v>0.625</v>
      </c>
      <c r="E26" s="55"/>
      <c r="F26" s="56" t="s">
        <v>887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hidden="1" customHeight="1" x14ac:dyDescent="0.3">
      <c r="A27" s="91" t="s">
        <v>0</v>
      </c>
      <c r="B27" s="93" t="s">
        <v>1</v>
      </c>
      <c r="C27" s="50" t="s">
        <v>838</v>
      </c>
      <c r="D27" s="51" t="s">
        <v>2</v>
      </c>
      <c r="E27" s="52" t="s">
        <v>3</v>
      </c>
      <c r="F27" s="53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 t="str">
        <f t="shared" ref="A28" si="12">PROPER(TEXT(B28, "dddd"))</f>
        <v>Söndag</v>
      </c>
      <c r="B28" s="93">
        <f t="shared" ref="B28" si="13">Söndag44</f>
        <v>45963</v>
      </c>
      <c r="C28" s="46">
        <v>0.375</v>
      </c>
      <c r="D28" s="54">
        <v>0.79166666666666663</v>
      </c>
      <c r="E28" s="55"/>
      <c r="F28" s="56" t="s">
        <v>887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30" spans="1:24" ht="15" customHeight="1" x14ac:dyDescent="0.3">
      <c r="C30" s="46"/>
      <c r="D30" s="47"/>
    </row>
    <row r="31" spans="1:24" ht="15" customHeight="1" x14ac:dyDescent="0.3">
      <c r="C31" s="46"/>
      <c r="D31" s="8"/>
    </row>
    <row r="32" spans="1:24" ht="15" customHeight="1" x14ac:dyDescent="0.3">
      <c r="C32" s="46"/>
      <c r="D32" s="8"/>
    </row>
  </sheetData>
  <sheetProtection algorithmName="SHA-512" hashValue="F9SkYJo6p/K6LOOsuXlt/cWX79ZJZj9JDIwhcZFnvM6vmn+Upu/hISIWZPyVHcGNYBnNqtvhWEC7LseWc2ofLw==" saltValue="8sequgnYL2c424aVlyXg+g==" spinCount="100000" sheet="1" objects="1" scenarios="1" autoFilter="0" pivotTables="0"/>
  <sortState xmlns:xlrd2="http://schemas.microsoft.com/office/spreadsheetml/2017/richdata2" ref="A10:F14">
    <sortCondition ref="C10:C14"/>
  </sortState>
  <conditionalFormatting sqref="A3 A5:A8 A16:A19 A21:A24 A26 A28 A10:A14">
    <cfRule type="cellIs" dxfId="739" priority="1" operator="equal">
      <formula>"Datum"</formula>
    </cfRule>
    <cfRule type="cellIs" dxfId="738" priority="2" operator="equal">
      <formula>"Dag"</formula>
    </cfRule>
    <cfRule type="expression" dxfId="737" priority="4">
      <formula>OR(IF($A2="Dag",1))</formula>
    </cfRule>
  </conditionalFormatting>
  <conditionalFormatting sqref="A27">
    <cfRule type="expression" dxfId="736" priority="22">
      <formula>OR(IF(#REF!="Dag",1))</formula>
    </cfRule>
  </conditionalFormatting>
  <conditionalFormatting sqref="A1:B2 B3 A4:B4 B5:B8 A9:B9 A15:B15 B16:B19 A20:B20 B21:B24 A25:B25 B26 A27:B27 B28 A29:B1048576 B10:B14">
    <cfRule type="cellIs" dxfId="735" priority="14" operator="equal">
      <formula>"Datum"</formula>
    </cfRule>
    <cfRule type="cellIs" dxfId="734" priority="15" operator="equal">
      <formula>"Dag"</formula>
    </cfRule>
  </conditionalFormatting>
  <conditionalFormatting sqref="B3 B5:B8 B10:B14 B16:B19 B21:B24 B26 B28">
    <cfRule type="expression" dxfId="733" priority="21">
      <formula>OR(IF($B2="Datum",1))</formula>
    </cfRule>
  </conditionalFormatting>
  <conditionalFormatting sqref="C3:E28">
    <cfRule type="expression" dxfId="732" priority="18">
      <formula>OR(IF($E3="Hela hallen",1))</formula>
    </cfRule>
  </conditionalFormatting>
  <conditionalFormatting sqref="L1:T1048576">
    <cfRule type="cellIs" dxfId="731" priority="13" operator="equal">
      <formula>"-"</formula>
    </cfRule>
  </conditionalFormatting>
  <conditionalFormatting sqref="A15 A20 A25">
    <cfRule type="expression" dxfId="730" priority="1235">
      <formula>OR(IF(#REF!="Dag",1))</formula>
    </cfRule>
  </conditionalFormatting>
  <conditionalFormatting sqref="B15 B20 B25 B27">
    <cfRule type="expression" dxfId="729" priority="1239">
      <formula>OR(IF(#REF!="Datum",1))</formula>
    </cfRule>
  </conditionalFormatting>
  <conditionalFormatting sqref="C3:F28">
    <cfRule type="expression" dxfId="728" priority="2459">
      <formula>OR(IF(#REF!=TRUE,1))</formula>
    </cfRule>
  </conditionalFormatting>
  <conditionalFormatting sqref="A4 A9">
    <cfRule type="expression" dxfId="727" priority="2460">
      <formula>OR(IF(#REF!="Dag",1))</formula>
    </cfRule>
  </conditionalFormatting>
  <conditionalFormatting sqref="B4 B9">
    <cfRule type="expression" dxfId="726" priority="2462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CF62CDD-9962-45B0-8B4B-E8E0343426BF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A5:B8 A10:B14 A16:B19 A21:B24 A26:B26 A28:B28</xm:sqref>
        </x14:conditionalFormatting>
        <x14:conditionalFormatting xmlns:xm="http://schemas.microsoft.com/office/excel/2006/main">
          <x14:cfRule type="expression" priority="2471" id="{59E3DE2C-1C27-4CC4-9997-0E73777AE333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A9:B9 A15:B15 A20:B20 A25:B25 A27:B27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24BB91-103F-46E4-98A3-4D71A015EDFF}">
          <x14:formula1>
            <xm:f>Listor!$A$2:$A$150</xm:f>
          </x14:formula1>
          <xm:sqref>E3 E5:E8 E16:E19 E21:E24 E26 E28 E10:E14</xm:sqref>
        </x14:dataValidation>
        <x14:dataValidation type="list" allowBlank="1" showInputMessage="1" showErrorMessage="1" xr:uid="{28A7BC9C-3A94-4BB7-86DB-9E978510042A}">
          <x14:formula1>
            <xm:f>Kontaktuppgifter!$A$2:$A$300</xm:f>
          </x14:formula1>
          <xm:sqref>F3 F5:F8 F16:F19 F21:F24 F26 F28 F10:F14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37332-E85C-4A4F-982A-E1080BD9FD7E}">
  <sheetPr codeName="Blad46"/>
  <dimension ref="A1:Y37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Måndag45</f>
        <v>45964</v>
      </c>
      <c r="W1" s="39">
        <f>Söndag45</f>
        <v>45970</v>
      </c>
      <c r="X1" s="40">
        <f>WEEKNUM(Söndag45, 2)</f>
        <v>45</v>
      </c>
      <c r="Y1" s="41" t="str">
        <f>"V. "&amp;X1&amp;", "&amp;TEXT(V1,"D MMM")&amp;"-"&amp;TEXT(W1,"D MMM")</f>
        <v>V. 45, 3 nov-9 nov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Måndag45</f>
        <v>45964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ht="15" customHeight="1" x14ac:dyDescent="0.3">
      <c r="A4" s="91"/>
      <c r="B4" s="92"/>
      <c r="C4" s="46">
        <v>0.70833333333333337</v>
      </c>
      <c r="D4" s="47">
        <v>0.875</v>
      </c>
      <c r="E4" s="48"/>
      <c r="F4" s="49" t="s">
        <v>959</v>
      </c>
      <c r="G4"/>
      <c r="H4" s="1"/>
      <c r="I4" s="1"/>
      <c r="L4"/>
      <c r="M4"/>
      <c r="N4"/>
      <c r="O4"/>
      <c r="P4"/>
      <c r="Q4"/>
      <c r="R4"/>
      <c r="S4"/>
      <c r="T4"/>
      <c r="V4"/>
      <c r="W4"/>
      <c r="X4"/>
    </row>
    <row r="5" spans="1:25" s="10" customFormat="1" ht="20.100000000000001" hidden="1" customHeight="1" x14ac:dyDescent="0.3">
      <c r="A5" s="91" t="s">
        <v>0</v>
      </c>
      <c r="B5" s="93" t="s">
        <v>1</v>
      </c>
      <c r="C5" s="50" t="s">
        <v>838</v>
      </c>
      <c r="D5" s="51" t="s">
        <v>2</v>
      </c>
      <c r="E5" s="52" t="s">
        <v>3</v>
      </c>
      <c r="F5" s="53" t="s">
        <v>4</v>
      </c>
    </row>
    <row r="6" spans="1:25" ht="15" customHeight="1" x14ac:dyDescent="0.3">
      <c r="A6" s="91" t="str">
        <f t="shared" ref="A6" si="2">PROPER(TEXT(B6, "dddd"))</f>
        <v>Tisdag</v>
      </c>
      <c r="B6" s="93">
        <f t="shared" ref="B6" si="3">Tisdag45</f>
        <v>45965</v>
      </c>
      <c r="C6" s="46">
        <v>0.33333333333333331</v>
      </c>
      <c r="D6" s="54">
        <v>0.39583333333333331</v>
      </c>
      <c r="E6" s="55"/>
      <c r="F6" s="56" t="s">
        <v>522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0.375</v>
      </c>
      <c r="D7" s="54">
        <v>0.44791666666666669</v>
      </c>
      <c r="E7" s="55"/>
      <c r="F7" s="56" t="s">
        <v>521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0.5625</v>
      </c>
      <c r="D8" s="54">
        <v>0.64583333333333337</v>
      </c>
      <c r="E8" s="55"/>
      <c r="F8" s="56" t="s">
        <v>601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ht="15" customHeight="1" x14ac:dyDescent="0.3">
      <c r="A9" s="91"/>
      <c r="B9" s="93"/>
      <c r="C9" s="46">
        <v>0.70833333333333337</v>
      </c>
      <c r="D9" s="54">
        <v>0.83333333333333337</v>
      </c>
      <c r="E9" s="55"/>
      <c r="F9" s="56" t="s">
        <v>887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ht="15" customHeight="1" x14ac:dyDescent="0.3">
      <c r="A10" s="91"/>
      <c r="B10" s="93"/>
      <c r="C10" s="46">
        <v>0.70833333333333337</v>
      </c>
      <c r="D10" s="47">
        <v>0.875</v>
      </c>
      <c r="E10" s="48"/>
      <c r="F10" s="49" t="s">
        <v>959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s="10" customFormat="1" ht="20.100000000000001" hidden="1" customHeight="1" x14ac:dyDescent="0.3">
      <c r="A11" s="91" t="s">
        <v>0</v>
      </c>
      <c r="B11" s="93" t="s">
        <v>1</v>
      </c>
      <c r="C11" s="50" t="s">
        <v>838</v>
      </c>
      <c r="D11" s="51" t="s">
        <v>2</v>
      </c>
      <c r="E11" s="52" t="s">
        <v>3</v>
      </c>
      <c r="F11" s="53" t="s">
        <v>4</v>
      </c>
    </row>
    <row r="12" spans="1:25" ht="15" customHeight="1" x14ac:dyDescent="0.3">
      <c r="A12" s="91" t="str">
        <f t="shared" ref="A12" si="4">PROPER(TEXT(B12, "dddd"))</f>
        <v>Onsdag</v>
      </c>
      <c r="B12" s="93">
        <f t="shared" ref="B12" si="5">Onsdag45</f>
        <v>45966</v>
      </c>
      <c r="C12" s="46">
        <v>0.375</v>
      </c>
      <c r="D12" s="54">
        <v>0.45833333333333331</v>
      </c>
      <c r="E12" s="55"/>
      <c r="F12" s="56" t="s">
        <v>752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0.41666666666666669</v>
      </c>
      <c r="D13" s="54">
        <v>0.5</v>
      </c>
      <c r="E13" s="55"/>
      <c r="F13" s="56" t="s">
        <v>657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0.55555555555555558</v>
      </c>
      <c r="D14" s="54">
        <v>0.63888888888888884</v>
      </c>
      <c r="E14" s="55"/>
      <c r="F14" s="56" t="s">
        <v>28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customHeight="1" x14ac:dyDescent="0.3">
      <c r="A15" s="91"/>
      <c r="B15" s="93"/>
      <c r="C15" s="46">
        <v>0.55555555555555558</v>
      </c>
      <c r="D15" s="54">
        <v>0.63888888888888884</v>
      </c>
      <c r="E15" s="55"/>
      <c r="F15" s="56" t="s">
        <v>791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/>
      <c r="B16" s="93"/>
      <c r="C16" s="46">
        <v>0.70833333333333337</v>
      </c>
      <c r="D16" s="54">
        <v>0.83333333333333337</v>
      </c>
      <c r="E16" s="55"/>
      <c r="F16" s="56" t="s">
        <v>887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0.70833333333333337</v>
      </c>
      <c r="D17" s="47">
        <v>0.875</v>
      </c>
      <c r="E17" s="48"/>
      <c r="F17" s="49" t="s">
        <v>959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hidden="1" customHeight="1" x14ac:dyDescent="0.3">
      <c r="A18" s="91" t="s">
        <v>0</v>
      </c>
      <c r="B18" s="93" t="s">
        <v>1</v>
      </c>
      <c r="C18" s="50" t="s">
        <v>838</v>
      </c>
      <c r="D18" s="51" t="s">
        <v>2</v>
      </c>
      <c r="E18" s="52" t="s">
        <v>3</v>
      </c>
      <c r="F18" s="53" t="s">
        <v>4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 t="str">
        <f t="shared" ref="A19" si="6">PROPER(TEXT(B19, "dddd"))</f>
        <v>Torsdag</v>
      </c>
      <c r="B19" s="93">
        <f t="shared" ref="B19" si="7">Torsdag45</f>
        <v>45967</v>
      </c>
      <c r="C19" s="46">
        <v>0.375</v>
      </c>
      <c r="D19" s="54">
        <v>0.4375</v>
      </c>
      <c r="E19" s="55"/>
      <c r="F19" s="56" t="s">
        <v>521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customHeight="1" x14ac:dyDescent="0.3">
      <c r="A20" s="91"/>
      <c r="B20" s="93"/>
      <c r="C20" s="46">
        <v>0.41666666666666669</v>
      </c>
      <c r="D20" s="54">
        <v>0.5</v>
      </c>
      <c r="E20" s="55"/>
      <c r="F20" s="56" t="s">
        <v>252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/>
      <c r="B21" s="93"/>
      <c r="C21" s="46">
        <v>0.5625</v>
      </c>
      <c r="D21" s="54">
        <v>0.64583333333333337</v>
      </c>
      <c r="E21" s="55"/>
      <c r="F21" s="56" t="s">
        <v>230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0.70833333333333337</v>
      </c>
      <c r="D22" s="54">
        <v>0.83333333333333337</v>
      </c>
      <c r="E22" s="55"/>
      <c r="F22" s="56" t="s">
        <v>887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hidden="1" customHeight="1" x14ac:dyDescent="0.3">
      <c r="A23" s="91" t="s">
        <v>0</v>
      </c>
      <c r="B23" s="93" t="s">
        <v>1</v>
      </c>
      <c r="C23" s="50" t="s">
        <v>838</v>
      </c>
      <c r="D23" s="51" t="s">
        <v>2</v>
      </c>
      <c r="E23" s="52" t="s">
        <v>3</v>
      </c>
      <c r="F23" s="53" t="s">
        <v>4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 t="str">
        <f t="shared" ref="A24" si="8">PROPER(TEXT(B24, "dddd"))</f>
        <v>Fredag</v>
      </c>
      <c r="B24" s="93">
        <f t="shared" ref="B24" si="9">Fredag45</f>
        <v>45968</v>
      </c>
      <c r="C24" s="46">
        <v>0.375</v>
      </c>
      <c r="D24" s="54">
        <v>0.4375</v>
      </c>
      <c r="E24" s="55"/>
      <c r="F24" s="56" t="s">
        <v>521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customHeight="1" x14ac:dyDescent="0.3">
      <c r="A25" s="91"/>
      <c r="B25" s="93"/>
      <c r="C25" s="46">
        <v>0.41666666666666669</v>
      </c>
      <c r="D25" s="54">
        <v>0.5</v>
      </c>
      <c r="E25" s="55"/>
      <c r="F25" s="56" t="s">
        <v>643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/>
      <c r="B26" s="93"/>
      <c r="C26" s="46">
        <v>0.45833333333333331</v>
      </c>
      <c r="D26" s="54">
        <v>0.54166666666666663</v>
      </c>
      <c r="E26" s="55"/>
      <c r="F26" s="56" t="s">
        <v>815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customHeight="1" x14ac:dyDescent="0.3">
      <c r="A27" s="91"/>
      <c r="B27" s="93"/>
      <c r="C27" s="46">
        <v>0.70833333333333337</v>
      </c>
      <c r="D27" s="54">
        <v>0.83333333333333337</v>
      </c>
      <c r="E27" s="55"/>
      <c r="F27" s="56" t="s">
        <v>887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hidden="1" customHeight="1" x14ac:dyDescent="0.3">
      <c r="A28" s="91" t="s">
        <v>0</v>
      </c>
      <c r="B28" s="93" t="s">
        <v>1</v>
      </c>
      <c r="C28" s="50" t="s">
        <v>838</v>
      </c>
      <c r="D28" s="51" t="s">
        <v>2</v>
      </c>
      <c r="E28" s="52" t="s">
        <v>3</v>
      </c>
      <c r="F28" s="53" t="s">
        <v>4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29" spans="1:24" ht="15" customHeight="1" x14ac:dyDescent="0.3">
      <c r="A29" s="91" t="str">
        <f t="shared" ref="A29" si="10">PROPER(TEXT(B29, "dddd"))</f>
        <v>Lördag</v>
      </c>
      <c r="B29" s="93">
        <f t="shared" ref="B29" si="11">Lördag45</f>
        <v>45969</v>
      </c>
      <c r="C29" s="46">
        <v>0.375</v>
      </c>
      <c r="D29" s="54">
        <v>0.625</v>
      </c>
      <c r="E29" s="55"/>
      <c r="F29" s="56" t="s">
        <v>887</v>
      </c>
      <c r="G29"/>
      <c r="H29" s="1"/>
      <c r="I29" s="1"/>
      <c r="L29"/>
      <c r="M29"/>
      <c r="N29"/>
      <c r="O29"/>
      <c r="P29"/>
      <c r="Q29"/>
      <c r="R29"/>
      <c r="S29"/>
      <c r="T29"/>
      <c r="V29"/>
      <c r="W29"/>
      <c r="X29"/>
    </row>
    <row r="30" spans="1:24" ht="15" customHeight="1" x14ac:dyDescent="0.3">
      <c r="A30" s="91"/>
      <c r="B30" s="93"/>
      <c r="C30" s="46">
        <v>0.41666666666666669</v>
      </c>
      <c r="D30" s="47">
        <v>0.66666666666666663</v>
      </c>
      <c r="E30" s="48"/>
      <c r="F30" s="49" t="s">
        <v>959</v>
      </c>
      <c r="G30"/>
      <c r="H30" s="1"/>
      <c r="I30" s="1"/>
      <c r="L30"/>
      <c r="M30"/>
      <c r="N30"/>
      <c r="O30"/>
      <c r="P30"/>
      <c r="Q30"/>
      <c r="R30"/>
      <c r="S30"/>
      <c r="T30"/>
      <c r="V30"/>
      <c r="W30"/>
      <c r="X30"/>
    </row>
    <row r="31" spans="1:24" ht="15" hidden="1" customHeight="1" x14ac:dyDescent="0.3">
      <c r="A31" s="91" t="s">
        <v>0</v>
      </c>
      <c r="B31" s="93" t="s">
        <v>1</v>
      </c>
      <c r="C31" s="50" t="s">
        <v>838</v>
      </c>
      <c r="D31" s="51" t="s">
        <v>2</v>
      </c>
      <c r="E31" s="52" t="s">
        <v>3</v>
      </c>
      <c r="F31" s="53" t="s">
        <v>4</v>
      </c>
      <c r="G31"/>
      <c r="H31" s="1"/>
      <c r="I31" s="1"/>
      <c r="L31"/>
      <c r="M31"/>
      <c r="N31"/>
      <c r="O31"/>
      <c r="P31"/>
      <c r="Q31"/>
      <c r="R31"/>
      <c r="S31"/>
      <c r="T31"/>
      <c r="V31"/>
      <c r="W31"/>
      <c r="X31"/>
    </row>
    <row r="32" spans="1:24" ht="15" customHeight="1" x14ac:dyDescent="0.3">
      <c r="A32" s="91" t="str">
        <f t="shared" ref="A32" si="12">PROPER(TEXT(B32, "dddd"))</f>
        <v>Söndag</v>
      </c>
      <c r="B32" s="93">
        <f t="shared" ref="B32" si="13">Söndag45</f>
        <v>45970</v>
      </c>
      <c r="C32" s="46">
        <v>0.375</v>
      </c>
      <c r="D32" s="54">
        <v>0.79166666666666663</v>
      </c>
      <c r="E32" s="55"/>
      <c r="F32" s="56" t="s">
        <v>887</v>
      </c>
      <c r="G32"/>
      <c r="H32" s="1"/>
      <c r="I32" s="1"/>
      <c r="L32"/>
      <c r="M32"/>
      <c r="N32"/>
      <c r="O32"/>
      <c r="P32"/>
      <c r="Q32"/>
      <c r="R32"/>
      <c r="S32"/>
      <c r="T32"/>
      <c r="V32"/>
      <c r="W32"/>
      <c r="X32"/>
    </row>
    <row r="33" spans="1:24" ht="15" customHeight="1" x14ac:dyDescent="0.3">
      <c r="A33" s="91"/>
      <c r="B33" s="93"/>
      <c r="C33" s="46">
        <v>0.41666666666666669</v>
      </c>
      <c r="D33" s="47">
        <v>0.66666666666666663</v>
      </c>
      <c r="E33" s="48"/>
      <c r="F33" s="49" t="s">
        <v>959</v>
      </c>
      <c r="G33"/>
      <c r="H33" s="1"/>
      <c r="I33" s="1"/>
      <c r="L33"/>
      <c r="M33"/>
      <c r="N33"/>
      <c r="O33"/>
      <c r="P33"/>
      <c r="Q33"/>
      <c r="R33"/>
      <c r="S33"/>
      <c r="T33"/>
      <c r="V33"/>
      <c r="W33"/>
      <c r="X33"/>
    </row>
    <row r="35" spans="1:24" ht="15" customHeight="1" x14ac:dyDescent="0.3">
      <c r="C35" s="46"/>
      <c r="D35" s="47"/>
    </row>
    <row r="36" spans="1:24" ht="15" customHeight="1" x14ac:dyDescent="0.3">
      <c r="C36" s="46"/>
      <c r="D36" s="8"/>
    </row>
    <row r="37" spans="1:24" ht="15" customHeight="1" x14ac:dyDescent="0.3">
      <c r="C37" s="46"/>
      <c r="D37" s="8"/>
    </row>
  </sheetData>
  <sheetProtection algorithmName="SHA-512" hashValue="5UfsiOB92DuHh0VPeAuoLSNeFyWVkYJPx377XHf+x/RhRHHmNATdVtLA6iQR/2257sFbCd27Tv8prApQMrtZwQ==" saltValue="XncNuphjsnNwkEydtmLjYg==" spinCount="100000" sheet="1" objects="1" scenarios="1" autoFilter="0" pivotTables="0"/>
  <sortState xmlns:xlrd2="http://schemas.microsoft.com/office/spreadsheetml/2017/richdata2" ref="A12:F17">
    <sortCondition ref="C12:C17"/>
  </sortState>
  <conditionalFormatting sqref="A3:A4 A6:A10 A19:A22 A24:A27 A29:A30 A32:A33 A12:A17">
    <cfRule type="cellIs" dxfId="667" priority="1" operator="equal">
      <formula>"Datum"</formula>
    </cfRule>
    <cfRule type="cellIs" dxfId="666" priority="2" operator="equal">
      <formula>"Dag"</formula>
    </cfRule>
    <cfRule type="expression" dxfId="665" priority="4">
      <formula>OR(IF($A2="Dag",1))</formula>
    </cfRule>
  </conditionalFormatting>
  <conditionalFormatting sqref="A31">
    <cfRule type="expression" dxfId="664" priority="22">
      <formula>OR(IF(#REF!="Dag",1))</formula>
    </cfRule>
  </conditionalFormatting>
  <conditionalFormatting sqref="A1:B2 B3:B4 A5:B5 B6:B10 A11:B11 A18:B18 B19:B22 A23:B23 B24:B27 A28:B28 B29:B30 A31:B31 B32:B33 A34:B1048576 B12:B17">
    <cfRule type="cellIs" dxfId="663" priority="14" operator="equal">
      <formula>"Datum"</formula>
    </cfRule>
    <cfRule type="cellIs" dxfId="662" priority="15" operator="equal">
      <formula>"Dag"</formula>
    </cfRule>
  </conditionalFormatting>
  <conditionalFormatting sqref="B3:B4 B6:B10 B12:B17 B19:B22 B24:B27 B29:B30 B32:B33">
    <cfRule type="expression" dxfId="661" priority="21">
      <formula>OR(IF($B2="Datum",1))</formula>
    </cfRule>
  </conditionalFormatting>
  <conditionalFormatting sqref="C3:E33">
    <cfRule type="expression" dxfId="660" priority="18">
      <formula>OR(IF($E3="Hela hallen",1))</formula>
    </cfRule>
  </conditionalFormatting>
  <conditionalFormatting sqref="L1:T1048576">
    <cfRule type="cellIs" dxfId="659" priority="13" operator="equal">
      <formula>"-"</formula>
    </cfRule>
  </conditionalFormatting>
  <conditionalFormatting sqref="A18">
    <cfRule type="expression" dxfId="658" priority="1252">
      <formula>OR(IF($A17="Dag",1))</formula>
    </cfRule>
  </conditionalFormatting>
  <conditionalFormatting sqref="B18">
    <cfRule type="expression" dxfId="657" priority="1256">
      <formula>OR(IF($B17="Datum",1))</formula>
    </cfRule>
  </conditionalFormatting>
  <conditionalFormatting sqref="C3:F33">
    <cfRule type="expression" dxfId="656" priority="2473">
      <formula>OR(IF(#REF!=TRUE,1))</formula>
    </cfRule>
  </conditionalFormatting>
  <conditionalFormatting sqref="A5 A11 A23 A28">
    <cfRule type="expression" dxfId="655" priority="2474">
      <formula>OR(IF(#REF!="Dag",1))</formula>
    </cfRule>
  </conditionalFormatting>
  <conditionalFormatting sqref="B5 B11 B23 B28 B31">
    <cfRule type="expression" dxfId="654" priority="2476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CE0876A-BEC2-4D45-8836-6AE37028AE18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A3:B4 A6:B10 A12:B22 A24:B27 A29:B30 A32:B33</xm:sqref>
        </x14:conditionalFormatting>
        <x14:conditionalFormatting xmlns:xm="http://schemas.microsoft.com/office/excel/2006/main">
          <x14:cfRule type="expression" priority="2485" id="{0FA6CEFA-E45C-4997-80F4-3047A75F86C3}">
            <xm:f>AND(IF(ISERROR(MATCH($B5,Kalenderår!$A$3:$A$17,0)),FALSE,TRUE), IF(#REF!="Datum",TRUE,FALSE), IF(#REF!="Dag",TRUE,FALSE))</xm:f>
            <x14:dxf>
              <font>
                <color rgb="FFC00000"/>
              </font>
            </x14:dxf>
          </x14:cfRule>
          <xm:sqref>A5:B5 A11:B11 A23:B23 A28:B28 A31:B31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2986C9-8D0C-4F60-ABEC-228F2E9EF3EA}">
          <x14:formula1>
            <xm:f>Kontaktuppgifter!$A$2:$A$300</xm:f>
          </x14:formula1>
          <xm:sqref>F3:F4 F6:F10 F19:F22 F24:F27 F12:F17 F29:F30 F32:F33</xm:sqref>
        </x14:dataValidation>
        <x14:dataValidation type="list" allowBlank="1" showInputMessage="1" showErrorMessage="1" xr:uid="{0D0A762C-294E-4957-A85F-31F25F9ED82B}">
          <x14:formula1>
            <xm:f>Listor!$A$2:$A$150</xm:f>
          </x14:formula1>
          <xm:sqref>E3:E4 E6:E10 E19:E22 E24:E27 E12:E17 E29:E30 E32:E33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B879-2807-4602-8884-ED169ACC8116}">
  <sheetPr codeName="Blad47"/>
  <dimension ref="A1:Y32"/>
  <sheetViews>
    <sheetView showGridLines="0" zoomScaleNormal="100" workbookViewId="0">
      <pane ySplit="2" topLeftCell="A3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Måndag46</f>
        <v>45971</v>
      </c>
      <c r="W1" s="39">
        <f>Söndag46</f>
        <v>45977</v>
      </c>
      <c r="X1" s="40">
        <f>WEEKNUM(Söndag46, 2)</f>
        <v>46</v>
      </c>
      <c r="Y1" s="41" t="str">
        <f>"V. "&amp;X1&amp;", "&amp;TEXT(V1,"D MMM")&amp;"-"&amp;TEXT(W1,"D MMM")</f>
        <v>V. 46, 10 nov-16 nov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Måndag46</f>
        <v>45971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2">PROPER(TEXT(B5, "dddd"))</f>
        <v>Tisdag</v>
      </c>
      <c r="B5" s="93">
        <f t="shared" ref="B5" si="3">Tisdag46</f>
        <v>45972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/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0.5625</v>
      </c>
      <c r="D7" s="54">
        <v>0.64583333333333337</v>
      </c>
      <c r="E7" s="55"/>
      <c r="F7" s="56" t="s">
        <v>601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0.70833333333333337</v>
      </c>
      <c r="D8" s="54">
        <v>0.83333333333333337</v>
      </c>
      <c r="E8" s="55"/>
      <c r="F8" s="56" t="s">
        <v>887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</row>
    <row r="10" spans="1:25" ht="15" customHeight="1" x14ac:dyDescent="0.3">
      <c r="A10" s="91" t="str">
        <f t="shared" ref="A10" si="4">PROPER(TEXT(B10, "dddd"))</f>
        <v>Onsdag</v>
      </c>
      <c r="B10" s="93">
        <f t="shared" ref="B10" si="5">Onsdag46</f>
        <v>45973</v>
      </c>
      <c r="C10" s="46">
        <v>0.375</v>
      </c>
      <c r="D10" s="54">
        <v>0.45833333333333331</v>
      </c>
      <c r="E10" s="55"/>
      <c r="F10" s="56" t="s">
        <v>752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0.41666666666666669</v>
      </c>
      <c r="D11" s="54">
        <v>0.5</v>
      </c>
      <c r="E11" s="55"/>
      <c r="F11" s="56" t="s">
        <v>657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0.55555555555555558</v>
      </c>
      <c r="D12" s="54">
        <v>0.63888888888888884</v>
      </c>
      <c r="E12" s="55"/>
      <c r="F12" s="56" t="s">
        <v>28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0.55555555555555558</v>
      </c>
      <c r="D13" s="54">
        <v>0.63888888888888884</v>
      </c>
      <c r="E13" s="55"/>
      <c r="F13" s="56" t="s">
        <v>791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0.70833333333333337</v>
      </c>
      <c r="D14" s="54">
        <v>0.83333333333333337</v>
      </c>
      <c r="E14" s="55"/>
      <c r="F14" s="56" t="s">
        <v>887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hidden="1" customHeight="1" x14ac:dyDescent="0.3">
      <c r="A15" s="91" t="s">
        <v>0</v>
      </c>
      <c r="B15" s="93" t="s">
        <v>1</v>
      </c>
      <c r="C15" s="50" t="s">
        <v>838</v>
      </c>
      <c r="D15" s="51" t="s">
        <v>2</v>
      </c>
      <c r="E15" s="52" t="s">
        <v>3</v>
      </c>
      <c r="F15" s="53" t="s">
        <v>4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 t="str">
        <f t="shared" ref="A16" si="6">PROPER(TEXT(B16, "dddd"))</f>
        <v>Torsdag</v>
      </c>
      <c r="B16" s="93">
        <f t="shared" ref="B16" si="7">Torsdag46</f>
        <v>45974</v>
      </c>
      <c r="C16" s="46">
        <v>0.375</v>
      </c>
      <c r="D16" s="54">
        <v>0.4375</v>
      </c>
      <c r="E16" s="55"/>
      <c r="F16" s="56" t="s">
        <v>521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0.41666666666666669</v>
      </c>
      <c r="D17" s="54">
        <v>0.5</v>
      </c>
      <c r="E17" s="55"/>
      <c r="F17" s="56" t="s">
        <v>252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0.5625</v>
      </c>
      <c r="D18" s="54">
        <v>0.64583333333333337</v>
      </c>
      <c r="E18" s="55"/>
      <c r="F18" s="56" t="s">
        <v>230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0.70833333333333337</v>
      </c>
      <c r="D19" s="54">
        <v>0.83333333333333337</v>
      </c>
      <c r="E19" s="55"/>
      <c r="F19" s="56" t="s">
        <v>887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hidden="1" customHeight="1" x14ac:dyDescent="0.3">
      <c r="A20" s="91" t="s">
        <v>0</v>
      </c>
      <c r="B20" s="93" t="s">
        <v>1</v>
      </c>
      <c r="C20" s="50" t="s">
        <v>838</v>
      </c>
      <c r="D20" s="51" t="s">
        <v>2</v>
      </c>
      <c r="E20" s="52" t="s">
        <v>3</v>
      </c>
      <c r="F20" s="53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 t="str">
        <f t="shared" ref="A21" si="8">PROPER(TEXT(B21, "dddd"))</f>
        <v>Fredag</v>
      </c>
      <c r="B21" s="93">
        <f t="shared" ref="B21" si="9">Fredag46</f>
        <v>45975</v>
      </c>
      <c r="C21" s="46">
        <v>0.375</v>
      </c>
      <c r="D21" s="54">
        <v>0.4375</v>
      </c>
      <c r="E21" s="55"/>
      <c r="F21" s="56" t="s">
        <v>521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0.41666666666666669</v>
      </c>
      <c r="D22" s="54">
        <v>0.5</v>
      </c>
      <c r="E22" s="55"/>
      <c r="F22" s="56" t="s">
        <v>643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0.45833333333333331</v>
      </c>
      <c r="D23" s="54">
        <v>0.54166666666666663</v>
      </c>
      <c r="E23" s="55"/>
      <c r="F23" s="56" t="s">
        <v>815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0.70833333333333337</v>
      </c>
      <c r="D24" s="54">
        <v>0.83333333333333337</v>
      </c>
      <c r="E24" s="55"/>
      <c r="F24" s="56" t="s">
        <v>887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hidden="1" customHeight="1" x14ac:dyDescent="0.3">
      <c r="A25" s="91" t="s">
        <v>0</v>
      </c>
      <c r="B25" s="93" t="s">
        <v>1</v>
      </c>
      <c r="C25" s="50" t="s">
        <v>838</v>
      </c>
      <c r="D25" s="51" t="s">
        <v>2</v>
      </c>
      <c r="E25" s="52" t="s">
        <v>3</v>
      </c>
      <c r="F25" s="53" t="s">
        <v>4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 t="str">
        <f t="shared" ref="A26" si="10">PROPER(TEXT(B26, "dddd"))</f>
        <v>Lördag</v>
      </c>
      <c r="B26" s="93">
        <f t="shared" ref="B26" si="11">Lördag46</f>
        <v>45976</v>
      </c>
      <c r="C26" s="46">
        <v>0.375</v>
      </c>
      <c r="D26" s="54">
        <v>0.625</v>
      </c>
      <c r="E26" s="55"/>
      <c r="F26" s="56" t="s">
        <v>887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hidden="1" customHeight="1" x14ac:dyDescent="0.3">
      <c r="A27" s="91" t="s">
        <v>0</v>
      </c>
      <c r="B27" s="93" t="s">
        <v>1</v>
      </c>
      <c r="C27" s="50" t="s">
        <v>838</v>
      </c>
      <c r="D27" s="51" t="s">
        <v>2</v>
      </c>
      <c r="E27" s="52" t="s">
        <v>3</v>
      </c>
      <c r="F27" s="53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 t="str">
        <f t="shared" ref="A28" si="12">PROPER(TEXT(B28, "dddd"))</f>
        <v>Söndag</v>
      </c>
      <c r="B28" s="93">
        <f t="shared" ref="B28" si="13">Söndag46</f>
        <v>45977</v>
      </c>
      <c r="C28" s="46">
        <v>0.375</v>
      </c>
      <c r="D28" s="54">
        <v>0.79166666666666663</v>
      </c>
      <c r="E28" s="55"/>
      <c r="F28" s="56" t="s">
        <v>887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30" spans="1:24" ht="15" customHeight="1" x14ac:dyDescent="0.3">
      <c r="C30" s="46"/>
      <c r="D30" s="47"/>
    </row>
    <row r="31" spans="1:24" ht="15" customHeight="1" x14ac:dyDescent="0.3">
      <c r="C31" s="46"/>
      <c r="D31" s="8"/>
    </row>
    <row r="32" spans="1:24" ht="15" customHeight="1" x14ac:dyDescent="0.3">
      <c r="C32" s="46"/>
      <c r="D32" s="8"/>
    </row>
  </sheetData>
  <sheetProtection algorithmName="SHA-512" hashValue="GpHfh4MrStNxUBatkZP4xmtfntKFia2lXUqq9dJhq5c1HKphGHj1NS9a+pdrmTj+DzEC3B7ISlDtSZj3YkRfKg==" saltValue="WQIGEwjy7PTmfEU3nCu1rw==" spinCount="100000" sheet="1" objects="1" scenarios="1" autoFilter="0" pivotTables="0"/>
  <sortState xmlns:xlrd2="http://schemas.microsoft.com/office/spreadsheetml/2017/richdata2" ref="A10:F14">
    <sortCondition ref="C10:C14"/>
  </sortState>
  <conditionalFormatting sqref="A3 A5:A8 A16:A19 A21:A24 A26 A28 A10:A14">
    <cfRule type="cellIs" dxfId="595" priority="1" operator="equal">
      <formula>"Datum"</formula>
    </cfRule>
    <cfRule type="cellIs" dxfId="594" priority="2" operator="equal">
      <formula>"Dag"</formula>
    </cfRule>
    <cfRule type="expression" dxfId="593" priority="4">
      <formula>OR(IF($A2="Dag",1))</formula>
    </cfRule>
  </conditionalFormatting>
  <conditionalFormatting sqref="A27">
    <cfRule type="expression" dxfId="592" priority="22">
      <formula>OR(IF(#REF!="Dag",1))</formula>
    </cfRule>
  </conditionalFormatting>
  <conditionalFormatting sqref="A1:B2 B3 A4:B4 B5:B8 A9:B9 A15:B15 B16:B19 A20:B20 B21:B24 A25:B25 B26 A27:B27 B28 A29:B1048576 B10:B14">
    <cfRule type="cellIs" dxfId="591" priority="14" operator="equal">
      <formula>"Datum"</formula>
    </cfRule>
    <cfRule type="cellIs" dxfId="590" priority="15" operator="equal">
      <formula>"Dag"</formula>
    </cfRule>
  </conditionalFormatting>
  <conditionalFormatting sqref="B3 B5:B8 B10:B14 B16:B19 B21:B24 B26 B28">
    <cfRule type="expression" dxfId="589" priority="21">
      <formula>OR(IF($B2="Datum",1))</formula>
    </cfRule>
  </conditionalFormatting>
  <conditionalFormatting sqref="C3:E28">
    <cfRule type="expression" dxfId="588" priority="18">
      <formula>OR(IF($E3="Hela hallen",1))</formula>
    </cfRule>
  </conditionalFormatting>
  <conditionalFormatting sqref="L1:T1048576">
    <cfRule type="cellIs" dxfId="587" priority="13" operator="equal">
      <formula>"-"</formula>
    </cfRule>
  </conditionalFormatting>
  <conditionalFormatting sqref="A15 A20 A25">
    <cfRule type="expression" dxfId="586" priority="1269">
      <formula>OR(IF(#REF!="Dag",1))</formula>
    </cfRule>
  </conditionalFormatting>
  <conditionalFormatting sqref="B15 B20 B25 B27">
    <cfRule type="expression" dxfId="585" priority="1273">
      <formula>OR(IF(#REF!="Datum",1))</formula>
    </cfRule>
  </conditionalFormatting>
  <conditionalFormatting sqref="C3:F28">
    <cfRule type="expression" dxfId="584" priority="2487">
      <formula>OR(IF(#REF!=TRUE,1))</formula>
    </cfRule>
  </conditionalFormatting>
  <conditionalFormatting sqref="A4 A9">
    <cfRule type="expression" dxfId="583" priority="2488">
      <formula>OR(IF(#REF!="Dag",1))</formula>
    </cfRule>
  </conditionalFormatting>
  <conditionalFormatting sqref="B4 B9">
    <cfRule type="expression" dxfId="582" priority="2490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97E4513-C552-4E2F-B15F-953B4FC1A68E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A5:B8 A10:B14 A16:B19 A21:B24 A26:B26 A28:B28</xm:sqref>
        </x14:conditionalFormatting>
        <x14:conditionalFormatting xmlns:xm="http://schemas.microsoft.com/office/excel/2006/main">
          <x14:cfRule type="expression" priority="2499" id="{23664D6E-E853-4014-AA0E-3C7C86034BD8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A9:B9 A15:B15 A20:B20 A25:B25 A27:B27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EE8A8F-EC90-4B45-9C36-200B1DCADE48}">
          <x14:formula1>
            <xm:f>Listor!$A$2:$A$150</xm:f>
          </x14:formula1>
          <xm:sqref>E3 E5:E8 E16:E19 E21:E24 E26 E28 E10:E14</xm:sqref>
        </x14:dataValidation>
        <x14:dataValidation type="list" allowBlank="1" showInputMessage="1" showErrorMessage="1" xr:uid="{E5833EDF-CDF3-46A2-B612-80D02CA01DCA}">
          <x14:formula1>
            <xm:f>Kontaktuppgifter!$A$2:$A$300</xm:f>
          </x14:formula1>
          <xm:sqref>F3 F5:F8 F16:F19 F21:F24 F26 F28 F10:F14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F6B6-EF83-423B-AB7B-44298A6E09A8}">
  <sheetPr codeName="Blad48"/>
  <dimension ref="A1:Y32"/>
  <sheetViews>
    <sheetView showGridLines="0" zoomScaleNormal="100" workbookViewId="0">
      <pane ySplit="2" topLeftCell="A3" activePane="bottomLeft" state="frozen"/>
      <selection activeCell="A31" sqref="A31:T36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Måndag47</f>
        <v>45978</v>
      </c>
      <c r="W1" s="39">
        <f>Söndag47</f>
        <v>45984</v>
      </c>
      <c r="X1" s="40">
        <f>WEEKNUM(Söndag47, 2)</f>
        <v>47</v>
      </c>
      <c r="Y1" s="41" t="str">
        <f>"V. "&amp;X1&amp;", "&amp;TEXT(V1,"D MMM")&amp;"-"&amp;TEXT(W1,"D MMM")</f>
        <v>V. 47, 17 nov-23 nov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Måndag47</f>
        <v>45978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2">PROPER(TEXT(B5, "dddd"))</f>
        <v>Tisdag</v>
      </c>
      <c r="B5" s="93">
        <f t="shared" ref="B5" si="3">Tisdag47</f>
        <v>45979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/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0.5625</v>
      </c>
      <c r="D7" s="54">
        <v>0.64583333333333337</v>
      </c>
      <c r="E7" s="55"/>
      <c r="F7" s="56" t="s">
        <v>601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0.70833333333333337</v>
      </c>
      <c r="D8" s="54">
        <v>0.83333333333333337</v>
      </c>
      <c r="E8" s="55"/>
      <c r="F8" s="56" t="s">
        <v>887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</row>
    <row r="10" spans="1:25" ht="15" customHeight="1" x14ac:dyDescent="0.3">
      <c r="A10" s="91" t="str">
        <f t="shared" ref="A10" si="4">PROPER(TEXT(B10, "dddd"))</f>
        <v>Onsdag</v>
      </c>
      <c r="B10" s="93">
        <f t="shared" ref="B10" si="5">Onsdag47</f>
        <v>45980</v>
      </c>
      <c r="C10" s="46">
        <v>0.375</v>
      </c>
      <c r="D10" s="54">
        <v>0.45833333333333331</v>
      </c>
      <c r="E10" s="55"/>
      <c r="F10" s="56" t="s">
        <v>752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0.41666666666666669</v>
      </c>
      <c r="D11" s="54">
        <v>0.5</v>
      </c>
      <c r="E11" s="55"/>
      <c r="F11" s="56" t="s">
        <v>657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0.55555555555555558</v>
      </c>
      <c r="D12" s="54">
        <v>0.63888888888888884</v>
      </c>
      <c r="E12" s="55"/>
      <c r="F12" s="56" t="s">
        <v>28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0.55555555555555558</v>
      </c>
      <c r="D13" s="54">
        <v>0.63888888888888884</v>
      </c>
      <c r="E13" s="55"/>
      <c r="F13" s="56" t="s">
        <v>791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0.70833333333333337</v>
      </c>
      <c r="D14" s="54">
        <v>0.83333333333333337</v>
      </c>
      <c r="E14" s="55"/>
      <c r="F14" s="56" t="s">
        <v>887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hidden="1" customHeight="1" x14ac:dyDescent="0.3">
      <c r="A15" s="91" t="s">
        <v>0</v>
      </c>
      <c r="B15" s="93" t="s">
        <v>1</v>
      </c>
      <c r="C15" s="50" t="s">
        <v>838</v>
      </c>
      <c r="D15" s="51" t="s">
        <v>2</v>
      </c>
      <c r="E15" s="52" t="s">
        <v>3</v>
      </c>
      <c r="F15" s="53" t="s">
        <v>4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 t="str">
        <f t="shared" ref="A16" si="6">PROPER(TEXT(B16, "dddd"))</f>
        <v>Torsdag</v>
      </c>
      <c r="B16" s="93">
        <f t="shared" ref="B16" si="7">Torsdag47</f>
        <v>45981</v>
      </c>
      <c r="C16" s="46">
        <v>0.375</v>
      </c>
      <c r="D16" s="54">
        <v>0.4375</v>
      </c>
      <c r="E16" s="55"/>
      <c r="F16" s="56" t="s">
        <v>521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0.41666666666666669</v>
      </c>
      <c r="D17" s="54">
        <v>0.5</v>
      </c>
      <c r="E17" s="55"/>
      <c r="F17" s="56" t="s">
        <v>252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0.5625</v>
      </c>
      <c r="D18" s="54">
        <v>0.64583333333333337</v>
      </c>
      <c r="E18" s="55"/>
      <c r="F18" s="56" t="s">
        <v>230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0.70833333333333337</v>
      </c>
      <c r="D19" s="54">
        <v>0.83333333333333337</v>
      </c>
      <c r="E19" s="55"/>
      <c r="F19" s="56" t="s">
        <v>887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hidden="1" customHeight="1" x14ac:dyDescent="0.3">
      <c r="A20" s="91" t="s">
        <v>0</v>
      </c>
      <c r="B20" s="93" t="s">
        <v>1</v>
      </c>
      <c r="C20" s="50" t="s">
        <v>838</v>
      </c>
      <c r="D20" s="51" t="s">
        <v>2</v>
      </c>
      <c r="E20" s="52" t="s">
        <v>3</v>
      </c>
      <c r="F20" s="53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 t="str">
        <f t="shared" ref="A21" si="8">PROPER(TEXT(B21, "dddd"))</f>
        <v>Fredag</v>
      </c>
      <c r="B21" s="93">
        <f t="shared" ref="B21" si="9">Fredag47</f>
        <v>45982</v>
      </c>
      <c r="C21" s="46">
        <v>0.375</v>
      </c>
      <c r="D21" s="54">
        <v>0.4375</v>
      </c>
      <c r="E21" s="55"/>
      <c r="F21" s="56" t="s">
        <v>521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0.41666666666666669</v>
      </c>
      <c r="D22" s="54">
        <v>0.5</v>
      </c>
      <c r="E22" s="55"/>
      <c r="F22" s="56" t="s">
        <v>643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0.45833333333333331</v>
      </c>
      <c r="D23" s="54">
        <v>0.54166666666666663</v>
      </c>
      <c r="E23" s="55"/>
      <c r="F23" s="56" t="s">
        <v>815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0.70833333333333337</v>
      </c>
      <c r="D24" s="54">
        <v>0.83333333333333337</v>
      </c>
      <c r="E24" s="55"/>
      <c r="F24" s="56" t="s">
        <v>887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hidden="1" customHeight="1" x14ac:dyDescent="0.3">
      <c r="A25" s="91" t="s">
        <v>0</v>
      </c>
      <c r="B25" s="93" t="s">
        <v>1</v>
      </c>
      <c r="C25" s="50" t="s">
        <v>838</v>
      </c>
      <c r="D25" s="51" t="s">
        <v>2</v>
      </c>
      <c r="E25" s="52" t="s">
        <v>3</v>
      </c>
      <c r="F25" s="53" t="s">
        <v>4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 t="str">
        <f t="shared" ref="A26" si="10">PROPER(TEXT(B26, "dddd"))</f>
        <v>Lördag</v>
      </c>
      <c r="B26" s="93">
        <f t="shared" ref="B26" si="11">Lördag47</f>
        <v>45983</v>
      </c>
      <c r="C26" s="46">
        <v>0.375</v>
      </c>
      <c r="D26" s="54">
        <v>0.625</v>
      </c>
      <c r="E26" s="55"/>
      <c r="F26" s="56" t="s">
        <v>887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hidden="1" customHeight="1" x14ac:dyDescent="0.3">
      <c r="A27" s="91" t="s">
        <v>0</v>
      </c>
      <c r="B27" s="93" t="s">
        <v>1</v>
      </c>
      <c r="C27" s="50" t="s">
        <v>838</v>
      </c>
      <c r="D27" s="51" t="s">
        <v>2</v>
      </c>
      <c r="E27" s="52" t="s">
        <v>3</v>
      </c>
      <c r="F27" s="53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 t="str">
        <f t="shared" ref="A28" si="12">PROPER(TEXT(B28, "dddd"))</f>
        <v>Söndag</v>
      </c>
      <c r="B28" s="93">
        <f t="shared" ref="B28" si="13">Söndag47</f>
        <v>45984</v>
      </c>
      <c r="C28" s="46">
        <v>0.375</v>
      </c>
      <c r="D28" s="54">
        <v>0.79166666666666663</v>
      </c>
      <c r="E28" s="55"/>
      <c r="F28" s="56" t="s">
        <v>887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30" spans="1:24" ht="15" customHeight="1" x14ac:dyDescent="0.3">
      <c r="C30" s="46"/>
      <c r="D30" s="47"/>
    </row>
    <row r="31" spans="1:24" ht="15" customHeight="1" x14ac:dyDescent="0.3">
      <c r="C31" s="46"/>
      <c r="D31" s="8"/>
    </row>
    <row r="32" spans="1:24" ht="15" customHeight="1" x14ac:dyDescent="0.3">
      <c r="C32" s="46"/>
      <c r="D32" s="8"/>
    </row>
  </sheetData>
  <sheetProtection algorithmName="SHA-512" hashValue="F/rpSxa0Orv21qLy7ajbtu3HaNkg+mUXI9HXTt/zECHl7EAdXccKQQDpffzE2wyf8YhbJw5X16Bd3QggykZngA==" saltValue="VktV2iBkdcRfYUsrGfcNbw==" spinCount="100000" sheet="1" objects="1" scenarios="1" autoFilter="0" pivotTables="0"/>
  <sortState xmlns:xlrd2="http://schemas.microsoft.com/office/spreadsheetml/2017/richdata2" ref="A10:F14">
    <sortCondition ref="C10:C14"/>
  </sortState>
  <conditionalFormatting sqref="A3 A5:A8 A16:A19 A21:A24 A26 A28 A10:A14">
    <cfRule type="cellIs" dxfId="523" priority="1" operator="equal">
      <formula>"Datum"</formula>
    </cfRule>
    <cfRule type="cellIs" dxfId="522" priority="2" operator="equal">
      <formula>"Dag"</formula>
    </cfRule>
    <cfRule type="expression" dxfId="521" priority="4">
      <formula>OR(IF($A2="Dag",1))</formula>
    </cfRule>
  </conditionalFormatting>
  <conditionalFormatting sqref="A27">
    <cfRule type="expression" dxfId="520" priority="22">
      <formula>OR(IF(#REF!="Dag",1))</formula>
    </cfRule>
  </conditionalFormatting>
  <conditionalFormatting sqref="A1:B2 B3 A4:B4 B5:B8 A9:B9 A15:B15 B16:B19 A20:B20 B21:B24 A25:B25 B26 A27:B27 B28 A29:B1048576 B10:B14">
    <cfRule type="cellIs" dxfId="519" priority="14" operator="equal">
      <formula>"Datum"</formula>
    </cfRule>
    <cfRule type="cellIs" dxfId="518" priority="15" operator="equal">
      <formula>"Dag"</formula>
    </cfRule>
  </conditionalFormatting>
  <conditionalFormatting sqref="B3 B5:B8 B10:B14 B16:B19 B21:B24 B26 B28">
    <cfRule type="expression" dxfId="517" priority="21">
      <formula>OR(IF($B2="Datum",1))</formula>
    </cfRule>
  </conditionalFormatting>
  <conditionalFormatting sqref="C3:E28">
    <cfRule type="expression" dxfId="516" priority="18">
      <formula>OR(IF($E3="Hela hallen",1))</formula>
    </cfRule>
  </conditionalFormatting>
  <conditionalFormatting sqref="L1:T1048576">
    <cfRule type="cellIs" dxfId="515" priority="13" operator="equal">
      <formula>"-"</formula>
    </cfRule>
  </conditionalFormatting>
  <conditionalFormatting sqref="A15 A20 A25">
    <cfRule type="expression" dxfId="514" priority="1286">
      <formula>OR(IF(#REF!="Dag",1))</formula>
    </cfRule>
  </conditionalFormatting>
  <conditionalFormatting sqref="B15 B20 B25 B27">
    <cfRule type="expression" dxfId="513" priority="1290">
      <formula>OR(IF(#REF!="Datum",1))</formula>
    </cfRule>
  </conditionalFormatting>
  <conditionalFormatting sqref="C3:F28">
    <cfRule type="expression" dxfId="512" priority="2501">
      <formula>OR(IF(#REF!=TRUE,1))</formula>
    </cfRule>
  </conditionalFormatting>
  <conditionalFormatting sqref="A4 A9">
    <cfRule type="expression" dxfId="511" priority="2502">
      <formula>OR(IF(#REF!="Dag",1))</formula>
    </cfRule>
  </conditionalFormatting>
  <conditionalFormatting sqref="B4 B9">
    <cfRule type="expression" dxfId="510" priority="2504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C931C6A-2EFD-4CA3-889F-C377B0231338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A5:B8 A10:B14 A16:B19 A21:B24 A26:B26 A28:B28</xm:sqref>
        </x14:conditionalFormatting>
        <x14:conditionalFormatting xmlns:xm="http://schemas.microsoft.com/office/excel/2006/main">
          <x14:cfRule type="expression" priority="2513" id="{22FD036C-9E39-4467-94AF-9B04E95CC704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A9:B9 A15:B15 A20:B20 A25:B25 A27:B27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D94331-80E1-4CE0-A628-77D19CACF393}">
          <x14:formula1>
            <xm:f>Kontaktuppgifter!$A$2:$A$300</xm:f>
          </x14:formula1>
          <xm:sqref>F3 F5:F8 F16:F19 F21:F24 F26 F28 F10:F14</xm:sqref>
        </x14:dataValidation>
        <x14:dataValidation type="list" allowBlank="1" showInputMessage="1" showErrorMessage="1" xr:uid="{F17D2D34-998F-440D-9043-0A3084D1EF15}">
          <x14:formula1>
            <xm:f>Listor!$A$2:$A$150</xm:f>
          </x14:formula1>
          <xm:sqref>E3 E5:E8 E16:E19 E21:E24 E26 E28 E10:E14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113A-B98C-44CF-B749-C438F786E180}">
  <sheetPr codeName="Blad49"/>
  <dimension ref="A1:Y32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Måndag48</f>
        <v>45985</v>
      </c>
      <c r="W1" s="39">
        <f>Söndag48</f>
        <v>45991</v>
      </c>
      <c r="X1" s="40">
        <f>WEEKNUM(Söndag48, 2)</f>
        <v>48</v>
      </c>
      <c r="Y1" s="41" t="str">
        <f>"V. "&amp;X1&amp;", "&amp;TEXT(V1,"D MMM")&amp;"-"&amp;TEXT(W1,"D MMM")</f>
        <v>V. 48, 24 nov-30 nov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Måndag48</f>
        <v>45985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2">PROPER(TEXT(B5, "dddd"))</f>
        <v>Tisdag</v>
      </c>
      <c r="B5" s="93">
        <f t="shared" ref="B5" si="3">Tisdag48</f>
        <v>45986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/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0.5625</v>
      </c>
      <c r="D7" s="54">
        <v>0.64583333333333337</v>
      </c>
      <c r="E7" s="55"/>
      <c r="F7" s="56" t="s">
        <v>601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0.70833333333333337</v>
      </c>
      <c r="D8" s="54">
        <v>0.83333333333333337</v>
      </c>
      <c r="E8" s="55"/>
      <c r="F8" s="56" t="s">
        <v>887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</row>
    <row r="10" spans="1:25" ht="15" customHeight="1" x14ac:dyDescent="0.3">
      <c r="A10" s="91" t="str">
        <f t="shared" ref="A10" si="4">PROPER(TEXT(B10, "dddd"))</f>
        <v>Onsdag</v>
      </c>
      <c r="B10" s="93">
        <f t="shared" ref="B10" si="5">Onsdag48</f>
        <v>45987</v>
      </c>
      <c r="C10" s="46">
        <v>0.375</v>
      </c>
      <c r="D10" s="54">
        <v>0.45833333333333331</v>
      </c>
      <c r="E10" s="55"/>
      <c r="F10" s="56" t="s">
        <v>752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0.41666666666666669</v>
      </c>
      <c r="D11" s="54">
        <v>0.5</v>
      </c>
      <c r="E11" s="55"/>
      <c r="F11" s="56" t="s">
        <v>657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0.55555555555555558</v>
      </c>
      <c r="D12" s="54">
        <v>0.63888888888888884</v>
      </c>
      <c r="E12" s="55"/>
      <c r="F12" s="56" t="s">
        <v>28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0.55555555555555558</v>
      </c>
      <c r="D13" s="54">
        <v>0.63888888888888884</v>
      </c>
      <c r="E13" s="55"/>
      <c r="F13" s="56" t="s">
        <v>791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0.70833333333333337</v>
      </c>
      <c r="D14" s="54">
        <v>0.83333333333333337</v>
      </c>
      <c r="E14" s="55"/>
      <c r="F14" s="56" t="s">
        <v>887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hidden="1" customHeight="1" x14ac:dyDescent="0.3">
      <c r="A15" s="91" t="s">
        <v>0</v>
      </c>
      <c r="B15" s="93" t="s">
        <v>1</v>
      </c>
      <c r="C15" s="50" t="s">
        <v>838</v>
      </c>
      <c r="D15" s="51" t="s">
        <v>2</v>
      </c>
      <c r="E15" s="52" t="s">
        <v>3</v>
      </c>
      <c r="F15" s="53" t="s">
        <v>4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 t="str">
        <f t="shared" ref="A16" si="6">PROPER(TEXT(B16, "dddd"))</f>
        <v>Torsdag</v>
      </c>
      <c r="B16" s="93">
        <f t="shared" ref="B16" si="7">Torsdag48</f>
        <v>45988</v>
      </c>
      <c r="C16" s="46">
        <v>0.375</v>
      </c>
      <c r="D16" s="54">
        <v>0.4375</v>
      </c>
      <c r="E16" s="55"/>
      <c r="F16" s="56" t="s">
        <v>521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0.41666666666666669</v>
      </c>
      <c r="D17" s="54">
        <v>0.5</v>
      </c>
      <c r="E17" s="55"/>
      <c r="F17" s="56" t="s">
        <v>252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0.5625</v>
      </c>
      <c r="D18" s="54">
        <v>0.64583333333333337</v>
      </c>
      <c r="E18" s="55"/>
      <c r="F18" s="56" t="s">
        <v>230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0.70833333333333337</v>
      </c>
      <c r="D19" s="54">
        <v>0.83333333333333337</v>
      </c>
      <c r="E19" s="55"/>
      <c r="F19" s="56" t="s">
        <v>887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hidden="1" customHeight="1" x14ac:dyDescent="0.3">
      <c r="A20" s="91" t="s">
        <v>0</v>
      </c>
      <c r="B20" s="93" t="s">
        <v>1</v>
      </c>
      <c r="C20" s="50" t="s">
        <v>838</v>
      </c>
      <c r="D20" s="51" t="s">
        <v>2</v>
      </c>
      <c r="E20" s="52" t="s">
        <v>3</v>
      </c>
      <c r="F20" s="53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 t="str">
        <f t="shared" ref="A21" si="8">PROPER(TEXT(B21, "dddd"))</f>
        <v>Fredag</v>
      </c>
      <c r="B21" s="93">
        <f t="shared" ref="B21" si="9">Fredag48</f>
        <v>45989</v>
      </c>
      <c r="C21" s="46">
        <v>0.375</v>
      </c>
      <c r="D21" s="54">
        <v>0.4375</v>
      </c>
      <c r="E21" s="55"/>
      <c r="F21" s="56" t="s">
        <v>521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0.41666666666666669</v>
      </c>
      <c r="D22" s="54">
        <v>0.5</v>
      </c>
      <c r="E22" s="55"/>
      <c r="F22" s="56" t="s">
        <v>643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0.45833333333333331</v>
      </c>
      <c r="D23" s="54">
        <v>0.54166666666666663</v>
      </c>
      <c r="E23" s="55"/>
      <c r="F23" s="56" t="s">
        <v>815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0.70833333333333337</v>
      </c>
      <c r="D24" s="54">
        <v>0.83333333333333337</v>
      </c>
      <c r="E24" s="55"/>
      <c r="F24" s="56" t="s">
        <v>887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hidden="1" customHeight="1" x14ac:dyDescent="0.3">
      <c r="A25" s="91" t="s">
        <v>0</v>
      </c>
      <c r="B25" s="93" t="s">
        <v>1</v>
      </c>
      <c r="C25" s="50" t="s">
        <v>838</v>
      </c>
      <c r="D25" s="51" t="s">
        <v>2</v>
      </c>
      <c r="E25" s="52" t="s">
        <v>3</v>
      </c>
      <c r="F25" s="53" t="s">
        <v>4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 t="str">
        <f t="shared" ref="A26" si="10">PROPER(TEXT(B26, "dddd"))</f>
        <v>Lördag</v>
      </c>
      <c r="B26" s="93">
        <f t="shared" ref="B26" si="11">Lördag48</f>
        <v>45990</v>
      </c>
      <c r="C26" s="46">
        <v>0.375</v>
      </c>
      <c r="D26" s="54">
        <v>0.625</v>
      </c>
      <c r="E26" s="55"/>
      <c r="F26" s="56" t="s">
        <v>887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hidden="1" customHeight="1" x14ac:dyDescent="0.3">
      <c r="A27" s="91" t="s">
        <v>0</v>
      </c>
      <c r="B27" s="93" t="s">
        <v>1</v>
      </c>
      <c r="C27" s="50" t="s">
        <v>838</v>
      </c>
      <c r="D27" s="51" t="s">
        <v>2</v>
      </c>
      <c r="E27" s="52" t="s">
        <v>3</v>
      </c>
      <c r="F27" s="53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 t="str">
        <f t="shared" ref="A28" si="12">PROPER(TEXT(B28, "dddd"))</f>
        <v>Söndag</v>
      </c>
      <c r="B28" s="93">
        <f t="shared" ref="B28" si="13">Söndag48</f>
        <v>45991</v>
      </c>
      <c r="C28" s="46">
        <v>0.375</v>
      </c>
      <c r="D28" s="54">
        <v>0.79166666666666663</v>
      </c>
      <c r="E28" s="55"/>
      <c r="F28" s="56" t="s">
        <v>887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30" spans="1:24" ht="15" customHeight="1" x14ac:dyDescent="0.3">
      <c r="C30" s="46"/>
      <c r="D30" s="47"/>
    </row>
    <row r="31" spans="1:24" ht="15" customHeight="1" x14ac:dyDescent="0.3">
      <c r="C31" s="46"/>
      <c r="D31" s="8"/>
    </row>
    <row r="32" spans="1:24" ht="15" customHeight="1" x14ac:dyDescent="0.3">
      <c r="C32" s="46"/>
      <c r="D32" s="8"/>
    </row>
  </sheetData>
  <sheetProtection algorithmName="SHA-512" hashValue="apPiHT1/y/xLk5T5iqET+hwoZIDcSRCeBBIsxpoNNUIc97A0nMpcuPa85ngc5/OJcssI1iT7BFObfO+D6R/yDA==" saltValue="Y67iozvRXr0noae3QgP5gA==" spinCount="100000" sheet="1" objects="1" scenarios="1" autoFilter="0" pivotTables="0"/>
  <sortState xmlns:xlrd2="http://schemas.microsoft.com/office/spreadsheetml/2017/richdata2" ref="A10:F14">
    <sortCondition ref="C10:C14"/>
  </sortState>
  <conditionalFormatting sqref="A3 A5:A8 A16:A19 A21:A24 A26 A28 A10:A14">
    <cfRule type="cellIs" dxfId="451" priority="1" operator="equal">
      <formula>"Datum"</formula>
    </cfRule>
    <cfRule type="cellIs" dxfId="450" priority="2" operator="equal">
      <formula>"Dag"</formula>
    </cfRule>
    <cfRule type="expression" dxfId="449" priority="4">
      <formula>OR(IF($A2="Dag",1))</formula>
    </cfRule>
  </conditionalFormatting>
  <conditionalFormatting sqref="A27">
    <cfRule type="expression" dxfId="448" priority="22">
      <formula>OR(IF(#REF!="Dag",1))</formula>
    </cfRule>
  </conditionalFormatting>
  <conditionalFormatting sqref="A1:B2 B3 A4:B4 B5:B8 A9:B9 A15:B15 B16:B19 A20:B20 B21:B24 A25:B25 B26 A27:B27 B28 A29:B1048576 B10:B14">
    <cfRule type="cellIs" dxfId="447" priority="14" operator="equal">
      <formula>"Datum"</formula>
    </cfRule>
    <cfRule type="cellIs" dxfId="446" priority="15" operator="equal">
      <formula>"Dag"</formula>
    </cfRule>
  </conditionalFormatting>
  <conditionalFormatting sqref="B3 B5:B8 B10:B14 B16:B19 B21:B24 B26 B28">
    <cfRule type="expression" dxfId="445" priority="21">
      <formula>OR(IF($B2="Datum",1))</formula>
    </cfRule>
  </conditionalFormatting>
  <conditionalFormatting sqref="C3:E28">
    <cfRule type="expression" dxfId="444" priority="18">
      <formula>OR(IF($E3="Hela hallen",1))</formula>
    </cfRule>
  </conditionalFormatting>
  <conditionalFormatting sqref="L1:T1048576">
    <cfRule type="cellIs" dxfId="443" priority="13" operator="equal">
      <formula>"-"</formula>
    </cfRule>
  </conditionalFormatting>
  <conditionalFormatting sqref="A15 A20 A25">
    <cfRule type="expression" dxfId="442" priority="1303">
      <formula>OR(IF(#REF!="Dag",1))</formula>
    </cfRule>
  </conditionalFormatting>
  <conditionalFormatting sqref="B15 B20 B25 B27">
    <cfRule type="expression" dxfId="441" priority="1307">
      <formula>OR(IF(#REF!="Datum",1))</formula>
    </cfRule>
  </conditionalFormatting>
  <conditionalFormatting sqref="C3:F28">
    <cfRule type="expression" dxfId="440" priority="2515">
      <formula>OR(IF(#REF!=TRUE,1))</formula>
    </cfRule>
  </conditionalFormatting>
  <conditionalFormatting sqref="A4 A9">
    <cfRule type="expression" dxfId="439" priority="2516">
      <formula>OR(IF(#REF!="Dag",1))</formula>
    </cfRule>
  </conditionalFormatting>
  <conditionalFormatting sqref="B4 B9">
    <cfRule type="expression" dxfId="438" priority="2518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C8477D2-2580-46A4-87F4-0C04EB8670F1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A5:B8 A10:B14 A16:B19 A21:B24 A26:B26 A28:B28</xm:sqref>
        </x14:conditionalFormatting>
        <x14:conditionalFormatting xmlns:xm="http://schemas.microsoft.com/office/excel/2006/main">
          <x14:cfRule type="expression" priority="2527" id="{7FF8F09E-376F-46CE-9C12-F4AF5A303287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A9:B9 A15:B15 A20:B20 A25:B25 A27:B27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D68FF3-1E5B-4211-A8AD-15A3764BF81B}">
          <x14:formula1>
            <xm:f>Listor!$A$2:$A$150</xm:f>
          </x14:formula1>
          <xm:sqref>E3 E5:E8 E16:E19 E21:E24 E26 E28 E10:E14</xm:sqref>
        </x14:dataValidation>
        <x14:dataValidation type="list" allowBlank="1" showInputMessage="1" showErrorMessage="1" xr:uid="{723D2FEF-7F9F-44E2-BFDA-395723277940}">
          <x14:formula1>
            <xm:f>Kontaktuppgifter!$A$2:$A$300</xm:f>
          </x14:formula1>
          <xm:sqref>F3 F5:F8 F16:F19 F21:F24 F26 F28 F10:F14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7A678-71EC-4F6B-8F6C-6757619E955F}">
  <sheetPr codeName="Blad50"/>
  <dimension ref="A1:Y32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Måndag49</f>
        <v>45992</v>
      </c>
      <c r="W1" s="39">
        <f>Söndag49</f>
        <v>45998</v>
      </c>
      <c r="X1" s="40">
        <f>WEEKNUM(Söndag49, 2)</f>
        <v>49</v>
      </c>
      <c r="Y1" s="41" t="str">
        <f>"V. "&amp;X1&amp;", "&amp;TEXT(V1,"D MMM")&amp;"-"&amp;TEXT(W1,"D MMM")</f>
        <v>V. 49, 1 dec-7 dec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Måndag49</f>
        <v>45992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2">PROPER(TEXT(B5, "dddd"))</f>
        <v>Tisdag</v>
      </c>
      <c r="B5" s="93">
        <f t="shared" ref="B5" si="3">Tisdag49</f>
        <v>45993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/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0.5625</v>
      </c>
      <c r="D7" s="54">
        <v>0.64583333333333337</v>
      </c>
      <c r="E7" s="55"/>
      <c r="F7" s="56" t="s">
        <v>601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0.70833333333333337</v>
      </c>
      <c r="D8" s="54">
        <v>0.83333333333333337</v>
      </c>
      <c r="E8" s="55"/>
      <c r="F8" s="56" t="s">
        <v>887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</row>
    <row r="10" spans="1:25" ht="15" customHeight="1" x14ac:dyDescent="0.3">
      <c r="A10" s="91" t="str">
        <f t="shared" ref="A10" si="4">PROPER(TEXT(B10, "dddd"))</f>
        <v>Onsdag</v>
      </c>
      <c r="B10" s="93">
        <f t="shared" ref="B10" si="5">Onsdag49</f>
        <v>45994</v>
      </c>
      <c r="C10" s="46">
        <v>0.375</v>
      </c>
      <c r="D10" s="54">
        <v>0.45833333333333331</v>
      </c>
      <c r="E10" s="55"/>
      <c r="F10" s="56" t="s">
        <v>752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0.41666666666666669</v>
      </c>
      <c r="D11" s="54">
        <v>0.5</v>
      </c>
      <c r="E11" s="55"/>
      <c r="F11" s="56" t="s">
        <v>657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0.55555555555555558</v>
      </c>
      <c r="D12" s="54">
        <v>0.63888888888888884</v>
      </c>
      <c r="E12" s="55"/>
      <c r="F12" s="56" t="s">
        <v>28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0.55555555555555558</v>
      </c>
      <c r="D13" s="54">
        <v>0.63888888888888884</v>
      </c>
      <c r="E13" s="55"/>
      <c r="F13" s="56" t="s">
        <v>791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0.70833333333333337</v>
      </c>
      <c r="D14" s="54">
        <v>0.83333333333333337</v>
      </c>
      <c r="E14" s="55"/>
      <c r="F14" s="56" t="s">
        <v>887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hidden="1" customHeight="1" x14ac:dyDescent="0.3">
      <c r="A15" s="91" t="s">
        <v>0</v>
      </c>
      <c r="B15" s="93" t="s">
        <v>1</v>
      </c>
      <c r="C15" s="50" t="s">
        <v>838</v>
      </c>
      <c r="D15" s="51" t="s">
        <v>2</v>
      </c>
      <c r="E15" s="52" t="s">
        <v>3</v>
      </c>
      <c r="F15" s="53" t="s">
        <v>4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 t="str">
        <f t="shared" ref="A16" si="6">PROPER(TEXT(B16, "dddd"))</f>
        <v>Torsdag</v>
      </c>
      <c r="B16" s="93">
        <f t="shared" ref="B16" si="7">Torsdag49</f>
        <v>45995</v>
      </c>
      <c r="C16" s="46">
        <v>0.375</v>
      </c>
      <c r="D16" s="54">
        <v>0.4375</v>
      </c>
      <c r="E16" s="55"/>
      <c r="F16" s="56" t="s">
        <v>521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0.41666666666666669</v>
      </c>
      <c r="D17" s="54">
        <v>0.5</v>
      </c>
      <c r="E17" s="55"/>
      <c r="F17" s="56" t="s">
        <v>252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0.5625</v>
      </c>
      <c r="D18" s="54">
        <v>0.64583333333333337</v>
      </c>
      <c r="E18" s="55"/>
      <c r="F18" s="56" t="s">
        <v>230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0.70833333333333337</v>
      </c>
      <c r="D19" s="54">
        <v>0.83333333333333337</v>
      </c>
      <c r="E19" s="55"/>
      <c r="F19" s="56" t="s">
        <v>887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hidden="1" customHeight="1" x14ac:dyDescent="0.3">
      <c r="A20" s="91" t="s">
        <v>0</v>
      </c>
      <c r="B20" s="93" t="s">
        <v>1</v>
      </c>
      <c r="C20" s="50" t="s">
        <v>838</v>
      </c>
      <c r="D20" s="51" t="s">
        <v>2</v>
      </c>
      <c r="E20" s="52" t="s">
        <v>3</v>
      </c>
      <c r="F20" s="53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 t="str">
        <f t="shared" ref="A21" si="8">PROPER(TEXT(B21, "dddd"))</f>
        <v>Fredag</v>
      </c>
      <c r="B21" s="93">
        <f t="shared" ref="B21" si="9">Fredag49</f>
        <v>45996</v>
      </c>
      <c r="C21" s="46">
        <v>0.375</v>
      </c>
      <c r="D21" s="54">
        <v>0.4375</v>
      </c>
      <c r="E21" s="55"/>
      <c r="F21" s="56" t="s">
        <v>521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0.41666666666666669</v>
      </c>
      <c r="D22" s="54">
        <v>0.5</v>
      </c>
      <c r="E22" s="55"/>
      <c r="F22" s="56" t="s">
        <v>643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0.45833333333333331</v>
      </c>
      <c r="D23" s="54">
        <v>0.54166666666666663</v>
      </c>
      <c r="E23" s="55"/>
      <c r="F23" s="56" t="s">
        <v>815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0.70833333333333337</v>
      </c>
      <c r="D24" s="54">
        <v>0.83333333333333337</v>
      </c>
      <c r="E24" s="55"/>
      <c r="F24" s="56" t="s">
        <v>887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hidden="1" customHeight="1" x14ac:dyDescent="0.3">
      <c r="A25" s="91" t="s">
        <v>0</v>
      </c>
      <c r="B25" s="93" t="s">
        <v>1</v>
      </c>
      <c r="C25" s="50" t="s">
        <v>838</v>
      </c>
      <c r="D25" s="51" t="s">
        <v>2</v>
      </c>
      <c r="E25" s="52" t="s">
        <v>3</v>
      </c>
      <c r="F25" s="53" t="s">
        <v>4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 t="str">
        <f t="shared" ref="A26" si="10">PROPER(TEXT(B26, "dddd"))</f>
        <v>Lördag</v>
      </c>
      <c r="B26" s="93">
        <f t="shared" ref="B26" si="11">Lördag49</f>
        <v>45997</v>
      </c>
      <c r="C26" s="46">
        <v>0.375</v>
      </c>
      <c r="D26" s="54">
        <v>0.625</v>
      </c>
      <c r="E26" s="55"/>
      <c r="F26" s="56" t="s">
        <v>887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hidden="1" customHeight="1" x14ac:dyDescent="0.3">
      <c r="A27" s="91" t="s">
        <v>0</v>
      </c>
      <c r="B27" s="93" t="s">
        <v>1</v>
      </c>
      <c r="C27" s="50" t="s">
        <v>838</v>
      </c>
      <c r="D27" s="51" t="s">
        <v>2</v>
      </c>
      <c r="E27" s="52" t="s">
        <v>3</v>
      </c>
      <c r="F27" s="53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 t="str">
        <f t="shared" ref="A28" si="12">PROPER(TEXT(B28, "dddd"))</f>
        <v>Söndag</v>
      </c>
      <c r="B28" s="93">
        <f t="shared" ref="B28" si="13">Söndag49</f>
        <v>45998</v>
      </c>
      <c r="C28" s="46">
        <v>0.375</v>
      </c>
      <c r="D28" s="54">
        <v>0.79166666666666663</v>
      </c>
      <c r="E28" s="55"/>
      <c r="F28" s="56" t="s">
        <v>887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30" spans="1:24" ht="15" customHeight="1" x14ac:dyDescent="0.3">
      <c r="C30" s="46"/>
      <c r="D30" s="47"/>
    </row>
    <row r="31" spans="1:24" ht="15" customHeight="1" x14ac:dyDescent="0.3">
      <c r="C31" s="46"/>
      <c r="D31" s="8"/>
    </row>
    <row r="32" spans="1:24" ht="15" customHeight="1" x14ac:dyDescent="0.3">
      <c r="C32" s="46"/>
      <c r="D32" s="8"/>
    </row>
  </sheetData>
  <sheetProtection algorithmName="SHA-512" hashValue="VBL5qTWJ/ttokc2cF3a17bSlx8CNq4RxQEx0N+QrlinvdGEtS2gHlo4LwBf4uZyBDZQ6Wh3zujp1kLkDitAFsw==" saltValue="1GvI0ofiu0DJY8zD4LAyyg==" spinCount="100000" sheet="1" objects="1" scenarios="1" autoFilter="0" pivotTables="0"/>
  <sortState xmlns:xlrd2="http://schemas.microsoft.com/office/spreadsheetml/2017/richdata2" ref="A10:F14">
    <sortCondition ref="C10:C14"/>
  </sortState>
  <conditionalFormatting sqref="A3 A5:A8 A16:A19 A21:A24 A26 A28 A10:A14">
    <cfRule type="cellIs" dxfId="379" priority="1" operator="equal">
      <formula>"Datum"</formula>
    </cfRule>
    <cfRule type="cellIs" dxfId="378" priority="2" operator="equal">
      <formula>"Dag"</formula>
    </cfRule>
    <cfRule type="expression" dxfId="377" priority="4">
      <formula>OR(IF($A2="Dag",1))</formula>
    </cfRule>
  </conditionalFormatting>
  <conditionalFormatting sqref="A27">
    <cfRule type="expression" dxfId="376" priority="22">
      <formula>OR(IF(#REF!="Dag",1))</formula>
    </cfRule>
  </conditionalFormatting>
  <conditionalFormatting sqref="A1:B2 B3 A4:B4 B5:B8 A9:B9 A15:B15 B16:B19 A20:B20 B21:B24 A25:B25 B26 A27:B27 B28 A29:B1048576 B10:B14">
    <cfRule type="cellIs" dxfId="375" priority="14" operator="equal">
      <formula>"Datum"</formula>
    </cfRule>
    <cfRule type="cellIs" dxfId="374" priority="15" operator="equal">
      <formula>"Dag"</formula>
    </cfRule>
  </conditionalFormatting>
  <conditionalFormatting sqref="B3 B5:B8 B10:B14 B16:B19 B21:B24 B26 B28">
    <cfRule type="expression" dxfId="373" priority="21">
      <formula>OR(IF($B2="Datum",1))</formula>
    </cfRule>
  </conditionalFormatting>
  <conditionalFormatting sqref="C3:E28">
    <cfRule type="expression" dxfId="372" priority="18">
      <formula>OR(IF($E3="Hela hallen",1))</formula>
    </cfRule>
  </conditionalFormatting>
  <conditionalFormatting sqref="L1:T1048576">
    <cfRule type="cellIs" dxfId="371" priority="13" operator="equal">
      <formula>"-"</formula>
    </cfRule>
  </conditionalFormatting>
  <conditionalFormatting sqref="A15 A20 A25">
    <cfRule type="expression" dxfId="370" priority="1320">
      <formula>OR(IF(#REF!="Dag",1))</formula>
    </cfRule>
  </conditionalFormatting>
  <conditionalFormatting sqref="B15 B20 B25 B27">
    <cfRule type="expression" dxfId="369" priority="1324">
      <formula>OR(IF(#REF!="Datum",1))</formula>
    </cfRule>
  </conditionalFormatting>
  <conditionalFormatting sqref="C3:F28">
    <cfRule type="expression" dxfId="368" priority="2529">
      <formula>OR(IF(#REF!=TRUE,1))</formula>
    </cfRule>
  </conditionalFormatting>
  <conditionalFormatting sqref="A4 A9">
    <cfRule type="expression" dxfId="367" priority="2530">
      <formula>OR(IF(#REF!="Dag",1))</formula>
    </cfRule>
  </conditionalFormatting>
  <conditionalFormatting sqref="B4 B9">
    <cfRule type="expression" dxfId="366" priority="2532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AB0EE22-D11A-4C4B-A1FB-951EA9C58ED9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A5:B8 A10:B14 A16:B19 A21:B24 A26:B26 A28:B28</xm:sqref>
        </x14:conditionalFormatting>
        <x14:conditionalFormatting xmlns:xm="http://schemas.microsoft.com/office/excel/2006/main">
          <x14:cfRule type="expression" priority="2541" id="{6EDACF3B-CA11-4B04-B7B0-B458AC63007C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A9:B9 A15:B15 A20:B20 A25:B25 A27:B27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C07032-79CD-4000-A434-BABFB5D89FD7}">
          <x14:formula1>
            <xm:f>Kontaktuppgifter!$A$2:$A$300</xm:f>
          </x14:formula1>
          <xm:sqref>F3 F5:F8 F16:F19 F21:F24 F26 F28 F10:F14</xm:sqref>
        </x14:dataValidation>
        <x14:dataValidation type="list" allowBlank="1" showInputMessage="1" showErrorMessage="1" xr:uid="{453F151E-C2FA-4F4D-9D8C-0DD23FE8707B}">
          <x14:formula1>
            <xm:f>Listor!$A$2:$A$150</xm:f>
          </x14:formula1>
          <xm:sqref>E3 E5:E8 E16:E19 E21:E24 E26 E28 E10:E14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6BA7-E0A3-457E-A6CB-B3D0D74F1623}">
  <sheetPr codeName="Blad51"/>
  <dimension ref="A1:Y32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Måndag50</f>
        <v>45999</v>
      </c>
      <c r="W1" s="39">
        <f>Söndag50</f>
        <v>46005</v>
      </c>
      <c r="X1" s="40">
        <f>WEEKNUM(Söndag50, 2)</f>
        <v>50</v>
      </c>
      <c r="Y1" s="41" t="str">
        <f>"V. "&amp;X1&amp;", "&amp;TEXT(V1,"D MMM")&amp;"-"&amp;TEXT(W1,"D MMM")</f>
        <v>V. 50, 8 dec-14 dec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Måndag50</f>
        <v>45999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2">PROPER(TEXT(B5, "dddd"))</f>
        <v>Tisdag</v>
      </c>
      <c r="B5" s="93">
        <f t="shared" ref="B5" si="3">Tisdag50</f>
        <v>46000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/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0.5625</v>
      </c>
      <c r="D7" s="54">
        <v>0.64583333333333337</v>
      </c>
      <c r="E7" s="55"/>
      <c r="F7" s="56" t="s">
        <v>601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0.70833333333333337</v>
      </c>
      <c r="D8" s="54">
        <v>0.83333333333333337</v>
      </c>
      <c r="E8" s="55"/>
      <c r="F8" s="56" t="s">
        <v>887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</row>
    <row r="10" spans="1:25" ht="15" customHeight="1" x14ac:dyDescent="0.3">
      <c r="A10" s="91" t="str">
        <f t="shared" ref="A10" si="4">PROPER(TEXT(B10, "dddd"))</f>
        <v>Onsdag</v>
      </c>
      <c r="B10" s="93">
        <f t="shared" ref="B10" si="5">Onsdag50</f>
        <v>46001</v>
      </c>
      <c r="C10" s="46">
        <v>0.375</v>
      </c>
      <c r="D10" s="54">
        <v>0.45833333333333331</v>
      </c>
      <c r="E10" s="55"/>
      <c r="F10" s="56" t="s">
        <v>752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0.41666666666666669</v>
      </c>
      <c r="D11" s="54">
        <v>0.5</v>
      </c>
      <c r="E11" s="55"/>
      <c r="F11" s="56" t="s">
        <v>657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0.55555555555555558</v>
      </c>
      <c r="D12" s="54">
        <v>0.63888888888888884</v>
      </c>
      <c r="E12" s="55"/>
      <c r="F12" s="56" t="s">
        <v>28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0.55555555555555558</v>
      </c>
      <c r="D13" s="54">
        <v>0.63888888888888884</v>
      </c>
      <c r="E13" s="55"/>
      <c r="F13" s="56" t="s">
        <v>791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0.70833333333333337</v>
      </c>
      <c r="D14" s="54">
        <v>0.83333333333333337</v>
      </c>
      <c r="E14" s="55"/>
      <c r="F14" s="56" t="s">
        <v>887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hidden="1" customHeight="1" x14ac:dyDescent="0.3">
      <c r="A15" s="91" t="s">
        <v>0</v>
      </c>
      <c r="B15" s="93" t="s">
        <v>1</v>
      </c>
      <c r="C15" s="50" t="s">
        <v>838</v>
      </c>
      <c r="D15" s="51" t="s">
        <v>2</v>
      </c>
      <c r="E15" s="52" t="s">
        <v>3</v>
      </c>
      <c r="F15" s="53" t="s">
        <v>4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 t="str">
        <f t="shared" ref="A16" si="6">PROPER(TEXT(B16, "dddd"))</f>
        <v>Torsdag</v>
      </c>
      <c r="B16" s="93">
        <f t="shared" ref="B16" si="7">Torsdag50</f>
        <v>46002</v>
      </c>
      <c r="C16" s="46">
        <v>0.375</v>
      </c>
      <c r="D16" s="54">
        <v>0.4375</v>
      </c>
      <c r="E16" s="55"/>
      <c r="F16" s="56" t="s">
        <v>521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0.41666666666666669</v>
      </c>
      <c r="D17" s="54">
        <v>0.5</v>
      </c>
      <c r="E17" s="55"/>
      <c r="F17" s="56" t="s">
        <v>252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0.5625</v>
      </c>
      <c r="D18" s="54">
        <v>0.64583333333333337</v>
      </c>
      <c r="E18" s="55"/>
      <c r="F18" s="56" t="s">
        <v>230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0.70833333333333337</v>
      </c>
      <c r="D19" s="54">
        <v>0.83333333333333337</v>
      </c>
      <c r="E19" s="55"/>
      <c r="F19" s="56" t="s">
        <v>887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hidden="1" customHeight="1" x14ac:dyDescent="0.3">
      <c r="A20" s="91" t="s">
        <v>0</v>
      </c>
      <c r="B20" s="93" t="s">
        <v>1</v>
      </c>
      <c r="C20" s="50" t="s">
        <v>838</v>
      </c>
      <c r="D20" s="51" t="s">
        <v>2</v>
      </c>
      <c r="E20" s="52" t="s">
        <v>3</v>
      </c>
      <c r="F20" s="53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 t="str">
        <f t="shared" ref="A21" si="8">PROPER(TEXT(B21, "dddd"))</f>
        <v>Fredag</v>
      </c>
      <c r="B21" s="93">
        <f t="shared" ref="B21" si="9">Fredag50</f>
        <v>46003</v>
      </c>
      <c r="C21" s="46">
        <v>0.375</v>
      </c>
      <c r="D21" s="54">
        <v>0.4375</v>
      </c>
      <c r="E21" s="55"/>
      <c r="F21" s="56" t="s">
        <v>521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0.41666666666666669</v>
      </c>
      <c r="D22" s="54">
        <v>0.5</v>
      </c>
      <c r="E22" s="55"/>
      <c r="F22" s="56" t="s">
        <v>643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0.45833333333333331</v>
      </c>
      <c r="D23" s="54">
        <v>0.54166666666666663</v>
      </c>
      <c r="E23" s="55"/>
      <c r="F23" s="56" t="s">
        <v>815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0.70833333333333337</v>
      </c>
      <c r="D24" s="54">
        <v>0.83333333333333337</v>
      </c>
      <c r="E24" s="55"/>
      <c r="F24" s="56" t="s">
        <v>887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hidden="1" customHeight="1" x14ac:dyDescent="0.3">
      <c r="A25" s="91" t="s">
        <v>0</v>
      </c>
      <c r="B25" s="93" t="s">
        <v>1</v>
      </c>
      <c r="C25" s="50" t="s">
        <v>838</v>
      </c>
      <c r="D25" s="51" t="s">
        <v>2</v>
      </c>
      <c r="E25" s="52" t="s">
        <v>3</v>
      </c>
      <c r="F25" s="53" t="s">
        <v>4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 t="str">
        <f t="shared" ref="A26" si="10">PROPER(TEXT(B26, "dddd"))</f>
        <v>Lördag</v>
      </c>
      <c r="B26" s="93">
        <f t="shared" ref="B26" si="11">Lördag50</f>
        <v>46004</v>
      </c>
      <c r="C26" s="46">
        <v>0.375</v>
      </c>
      <c r="D26" s="54">
        <v>0.625</v>
      </c>
      <c r="E26" s="55"/>
      <c r="F26" s="56" t="s">
        <v>887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hidden="1" customHeight="1" x14ac:dyDescent="0.3">
      <c r="A27" s="91" t="s">
        <v>0</v>
      </c>
      <c r="B27" s="93" t="s">
        <v>1</v>
      </c>
      <c r="C27" s="50" t="s">
        <v>838</v>
      </c>
      <c r="D27" s="51" t="s">
        <v>2</v>
      </c>
      <c r="E27" s="52" t="s">
        <v>3</v>
      </c>
      <c r="F27" s="53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 t="str">
        <f t="shared" ref="A28" si="12">PROPER(TEXT(B28, "dddd"))</f>
        <v>Söndag</v>
      </c>
      <c r="B28" s="93">
        <f t="shared" ref="B28" si="13">Söndag50</f>
        <v>46005</v>
      </c>
      <c r="C28" s="46">
        <v>0.375</v>
      </c>
      <c r="D28" s="54">
        <v>0.79166666666666663</v>
      </c>
      <c r="E28" s="55"/>
      <c r="F28" s="56" t="s">
        <v>887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30" spans="1:24" ht="15" customHeight="1" x14ac:dyDescent="0.3">
      <c r="C30" s="46"/>
      <c r="D30" s="47"/>
    </row>
    <row r="31" spans="1:24" ht="15" customHeight="1" x14ac:dyDescent="0.3">
      <c r="C31" s="46"/>
      <c r="D31" s="8"/>
    </row>
    <row r="32" spans="1:24" ht="15" customHeight="1" x14ac:dyDescent="0.3">
      <c r="C32" s="46"/>
      <c r="D32" s="8"/>
    </row>
  </sheetData>
  <sheetProtection algorithmName="SHA-512" hashValue="gZd2zxpNmiAJfhZ1coy5ReAE5MVhbcJN2bmirOk3JT5M2+c2NJgzEBMErRXN0g1SP83IaToGKy1qandnoGfLaA==" saltValue="zmqyuAvvhgZhKM8xVzR+Cg==" spinCount="100000" sheet="1" objects="1" scenarios="1" autoFilter="0" pivotTables="0"/>
  <sortState xmlns:xlrd2="http://schemas.microsoft.com/office/spreadsheetml/2017/richdata2" ref="A10:F14">
    <sortCondition ref="C10:C14"/>
  </sortState>
  <conditionalFormatting sqref="A3 A5:A8 A16:A19 A21:A24 A26 A28 A10:A14">
    <cfRule type="cellIs" dxfId="307" priority="1" operator="equal">
      <formula>"Datum"</formula>
    </cfRule>
    <cfRule type="cellIs" dxfId="306" priority="2" operator="equal">
      <formula>"Dag"</formula>
    </cfRule>
    <cfRule type="expression" dxfId="305" priority="4">
      <formula>OR(IF($A2="Dag",1))</formula>
    </cfRule>
  </conditionalFormatting>
  <conditionalFormatting sqref="A27">
    <cfRule type="expression" dxfId="304" priority="22">
      <formula>OR(IF(#REF!="Dag",1))</formula>
    </cfRule>
  </conditionalFormatting>
  <conditionalFormatting sqref="A1:B2 B3 A4:B4 B5:B8 A9:B9 A15:B15 B16:B19 A20:B20 B21:B24 A25:B25 B26 A27:B27 B28 A29:B1048576 B10:B14">
    <cfRule type="cellIs" dxfId="303" priority="14" operator="equal">
      <formula>"Datum"</formula>
    </cfRule>
    <cfRule type="cellIs" dxfId="302" priority="15" operator="equal">
      <formula>"Dag"</formula>
    </cfRule>
  </conditionalFormatting>
  <conditionalFormatting sqref="B3 B5:B8 B10:B14 B16:B19 B21:B24 B26 B28">
    <cfRule type="expression" dxfId="301" priority="21">
      <formula>OR(IF($B2="Datum",1))</formula>
    </cfRule>
  </conditionalFormatting>
  <conditionalFormatting sqref="C3:E28">
    <cfRule type="expression" dxfId="300" priority="18">
      <formula>OR(IF($E3="Hela hallen",1))</formula>
    </cfRule>
  </conditionalFormatting>
  <conditionalFormatting sqref="L1:T1048576">
    <cfRule type="cellIs" dxfId="299" priority="13" operator="equal">
      <formula>"-"</formula>
    </cfRule>
  </conditionalFormatting>
  <conditionalFormatting sqref="A15 A20 A25">
    <cfRule type="expression" dxfId="298" priority="1337">
      <formula>OR(IF(#REF!="Dag",1))</formula>
    </cfRule>
  </conditionalFormatting>
  <conditionalFormatting sqref="B15 B20 B25 B27">
    <cfRule type="expression" dxfId="297" priority="1341">
      <formula>OR(IF(#REF!="Datum",1))</formula>
    </cfRule>
  </conditionalFormatting>
  <conditionalFormatting sqref="C3:F28">
    <cfRule type="expression" dxfId="296" priority="2543">
      <formula>OR(IF(#REF!=TRUE,1))</formula>
    </cfRule>
  </conditionalFormatting>
  <conditionalFormatting sqref="A4 A9">
    <cfRule type="expression" dxfId="295" priority="2544">
      <formula>OR(IF(#REF!="Dag",1))</formula>
    </cfRule>
  </conditionalFormatting>
  <conditionalFormatting sqref="B4 B9">
    <cfRule type="expression" dxfId="294" priority="2546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85297BA-E0A7-48D2-A80B-7E69AD2F3939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A5:B8 A10:B14 A16:B19 A21:B24 A26:B26 A28:B28</xm:sqref>
        </x14:conditionalFormatting>
        <x14:conditionalFormatting xmlns:xm="http://schemas.microsoft.com/office/excel/2006/main">
          <x14:cfRule type="expression" priority="2555" id="{32941CD3-BC3E-4099-BF4C-069388CDCF79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A9:B9 A15:B15 A20:B20 A25:B25 A27:B27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7A4E6F0-B54E-4A22-81F1-29D8147345BD}">
          <x14:formula1>
            <xm:f>Listor!$A$2:$A$150</xm:f>
          </x14:formula1>
          <xm:sqref>E3 E5:E8 E16:E19 E21:E24 E26 E28 E10:E14</xm:sqref>
        </x14:dataValidation>
        <x14:dataValidation type="list" allowBlank="1" showInputMessage="1" showErrorMessage="1" xr:uid="{04B40D5D-3F7B-467E-90D8-953A7C21E9FC}">
          <x14:formula1>
            <xm:f>Kontaktuppgifter!$A$2:$A$300</xm:f>
          </x14:formula1>
          <xm:sqref>F3 F5:F8 F16:F19 F21:F24 F26 F28 F10:F14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55186-2E77-4852-B647-B11C324BF42D}">
  <sheetPr codeName="Blad52"/>
  <dimension ref="A1:Y32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Måndag51</f>
        <v>46006</v>
      </c>
      <c r="W1" s="39">
        <f>Söndag51</f>
        <v>46012</v>
      </c>
      <c r="X1" s="40">
        <f>WEEKNUM(Söndag51, 2)</f>
        <v>51</v>
      </c>
      <c r="Y1" s="41" t="str">
        <f>"V. "&amp;X1&amp;", "&amp;TEXT(V1,"D MMM")&amp;"-"&amp;TEXT(W1,"D MMM")</f>
        <v>V. 51, 15 dec-21 dec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Måndag51</f>
        <v>46006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2">PROPER(TEXT(B5, "dddd"))</f>
        <v>Tisdag</v>
      </c>
      <c r="B5" s="93">
        <f t="shared" ref="B5" si="3">Tisdag51</f>
        <v>46007</v>
      </c>
      <c r="C5" s="46">
        <v>0.33333333333333331</v>
      </c>
      <c r="D5" s="54">
        <v>0.39583333333333331</v>
      </c>
      <c r="E5" s="55"/>
      <c r="F5" s="56" t="s">
        <v>522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ht="15" customHeight="1" x14ac:dyDescent="0.3">
      <c r="A6" s="91"/>
      <c r="B6" s="93"/>
      <c r="C6" s="46">
        <v>0.375</v>
      </c>
      <c r="D6" s="54">
        <v>0.44791666666666669</v>
      </c>
      <c r="E6" s="55"/>
      <c r="F6" s="56" t="s">
        <v>521</v>
      </c>
      <c r="G6"/>
      <c r="H6" s="1"/>
      <c r="I6" s="1"/>
      <c r="L6"/>
      <c r="M6"/>
      <c r="N6"/>
      <c r="O6"/>
      <c r="P6"/>
      <c r="Q6"/>
      <c r="R6"/>
      <c r="S6"/>
      <c r="T6"/>
      <c r="V6"/>
      <c r="W6"/>
      <c r="X6"/>
    </row>
    <row r="7" spans="1:25" ht="15" customHeight="1" x14ac:dyDescent="0.3">
      <c r="A7" s="91"/>
      <c r="B7" s="93"/>
      <c r="C7" s="46">
        <v>0.5625</v>
      </c>
      <c r="D7" s="54">
        <v>0.64583333333333337</v>
      </c>
      <c r="E7" s="55"/>
      <c r="F7" s="56" t="s">
        <v>601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ht="15" customHeight="1" x14ac:dyDescent="0.3">
      <c r="A8" s="91"/>
      <c r="B8" s="93"/>
      <c r="C8" s="46">
        <v>0.70833333333333337</v>
      </c>
      <c r="D8" s="54">
        <v>0.83333333333333337</v>
      </c>
      <c r="E8" s="55"/>
      <c r="F8" s="56" t="s">
        <v>887</v>
      </c>
      <c r="G8"/>
      <c r="H8" s="1"/>
      <c r="I8" s="1"/>
      <c r="L8"/>
      <c r="M8"/>
      <c r="N8"/>
      <c r="O8"/>
      <c r="P8"/>
      <c r="Q8"/>
      <c r="R8"/>
      <c r="S8"/>
      <c r="T8"/>
      <c r="V8"/>
      <c r="W8"/>
      <c r="X8"/>
    </row>
    <row r="9" spans="1:25" s="10" customFormat="1" ht="20.100000000000001" hidden="1" customHeight="1" x14ac:dyDescent="0.3">
      <c r="A9" s="91" t="s">
        <v>0</v>
      </c>
      <c r="B9" s="93" t="s">
        <v>1</v>
      </c>
      <c r="C9" s="50" t="s">
        <v>838</v>
      </c>
      <c r="D9" s="51" t="s">
        <v>2</v>
      </c>
      <c r="E9" s="52" t="s">
        <v>3</v>
      </c>
      <c r="F9" s="53" t="s">
        <v>4</v>
      </c>
    </row>
    <row r="10" spans="1:25" ht="15" customHeight="1" x14ac:dyDescent="0.3">
      <c r="A10" s="91" t="str">
        <f t="shared" ref="A10" si="4">PROPER(TEXT(B10, "dddd"))</f>
        <v>Onsdag</v>
      </c>
      <c r="B10" s="93">
        <f t="shared" ref="B10" si="5">Onsdag51</f>
        <v>46008</v>
      </c>
      <c r="C10" s="46">
        <v>0.375</v>
      </c>
      <c r="D10" s="54">
        <v>0.45833333333333331</v>
      </c>
      <c r="E10" s="55"/>
      <c r="F10" s="56" t="s">
        <v>752</v>
      </c>
      <c r="G10"/>
      <c r="H10" s="1"/>
      <c r="I10" s="1"/>
      <c r="L10"/>
      <c r="M10"/>
      <c r="N10"/>
      <c r="O10"/>
      <c r="P10"/>
      <c r="Q10"/>
      <c r="R10"/>
      <c r="S10"/>
      <c r="T10"/>
      <c r="V10"/>
      <c r="W10"/>
      <c r="X10"/>
    </row>
    <row r="11" spans="1:25" ht="15" customHeight="1" x14ac:dyDescent="0.3">
      <c r="A11" s="91"/>
      <c r="B11" s="93"/>
      <c r="C11" s="46">
        <v>0.41666666666666669</v>
      </c>
      <c r="D11" s="54">
        <v>0.5</v>
      </c>
      <c r="E11" s="55"/>
      <c r="F11" s="56" t="s">
        <v>657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ht="15" customHeight="1" x14ac:dyDescent="0.3">
      <c r="A12" s="91"/>
      <c r="B12" s="93"/>
      <c r="C12" s="46">
        <v>0.55555555555555558</v>
      </c>
      <c r="D12" s="54">
        <v>0.63888888888888884</v>
      </c>
      <c r="E12" s="55"/>
      <c r="F12" s="56" t="s">
        <v>28</v>
      </c>
      <c r="G12"/>
      <c r="H12" s="1"/>
      <c r="I12" s="1"/>
      <c r="L12"/>
      <c r="M12"/>
      <c r="N12"/>
      <c r="O12"/>
      <c r="P12"/>
      <c r="Q12"/>
      <c r="R12"/>
      <c r="S12"/>
      <c r="T12"/>
      <c r="V12"/>
      <c r="W12"/>
      <c r="X12"/>
    </row>
    <row r="13" spans="1:25" ht="15" customHeight="1" x14ac:dyDescent="0.3">
      <c r="A13" s="91"/>
      <c r="B13" s="93"/>
      <c r="C13" s="46">
        <v>0.55555555555555558</v>
      </c>
      <c r="D13" s="54">
        <v>0.63888888888888884</v>
      </c>
      <c r="E13" s="55"/>
      <c r="F13" s="56" t="s">
        <v>791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ht="15" customHeight="1" x14ac:dyDescent="0.3">
      <c r="A14" s="91"/>
      <c r="B14" s="93"/>
      <c r="C14" s="46">
        <v>0.70833333333333337</v>
      </c>
      <c r="D14" s="54">
        <v>0.83333333333333337</v>
      </c>
      <c r="E14" s="55"/>
      <c r="F14" s="56" t="s">
        <v>887</v>
      </c>
      <c r="G14"/>
      <c r="H14" s="1"/>
      <c r="I14" s="1"/>
      <c r="L14"/>
      <c r="M14"/>
      <c r="N14"/>
      <c r="O14"/>
      <c r="P14"/>
      <c r="Q14"/>
      <c r="R14"/>
      <c r="S14"/>
      <c r="T14"/>
      <c r="V14"/>
      <c r="W14"/>
      <c r="X14"/>
    </row>
    <row r="15" spans="1:25" ht="15" hidden="1" customHeight="1" x14ac:dyDescent="0.3">
      <c r="A15" s="91" t="s">
        <v>0</v>
      </c>
      <c r="B15" s="93" t="s">
        <v>1</v>
      </c>
      <c r="C15" s="50" t="s">
        <v>838</v>
      </c>
      <c r="D15" s="51" t="s">
        <v>2</v>
      </c>
      <c r="E15" s="52" t="s">
        <v>3</v>
      </c>
      <c r="F15" s="53" t="s">
        <v>4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6" spans="1:25" ht="15" customHeight="1" x14ac:dyDescent="0.3">
      <c r="A16" s="91" t="str">
        <f t="shared" ref="A16" si="6">PROPER(TEXT(B16, "dddd"))</f>
        <v>Torsdag</v>
      </c>
      <c r="B16" s="93">
        <f t="shared" ref="B16" si="7">Torsdag51</f>
        <v>46009</v>
      </c>
      <c r="C16" s="46">
        <v>0.375</v>
      </c>
      <c r="D16" s="54">
        <v>0.4375</v>
      </c>
      <c r="E16" s="55"/>
      <c r="F16" s="56" t="s">
        <v>521</v>
      </c>
      <c r="G16"/>
      <c r="H16" s="1"/>
      <c r="I16" s="1"/>
      <c r="L16"/>
      <c r="M16"/>
      <c r="N16"/>
      <c r="O16"/>
      <c r="P16"/>
      <c r="Q16"/>
      <c r="R16"/>
      <c r="S16"/>
      <c r="T16"/>
      <c r="V16"/>
      <c r="W16"/>
      <c r="X16"/>
    </row>
    <row r="17" spans="1:24" ht="15" customHeight="1" x14ac:dyDescent="0.3">
      <c r="A17" s="91"/>
      <c r="B17" s="93"/>
      <c r="C17" s="46">
        <v>0.41666666666666669</v>
      </c>
      <c r="D17" s="54">
        <v>0.5</v>
      </c>
      <c r="E17" s="55"/>
      <c r="F17" s="56" t="s">
        <v>252</v>
      </c>
      <c r="G17"/>
      <c r="H17" s="1"/>
      <c r="I17" s="1"/>
      <c r="L17"/>
      <c r="M17"/>
      <c r="N17"/>
      <c r="O17"/>
      <c r="P17"/>
      <c r="Q17"/>
      <c r="R17"/>
      <c r="S17"/>
      <c r="T17"/>
      <c r="V17"/>
      <c r="W17"/>
      <c r="X17"/>
    </row>
    <row r="18" spans="1:24" ht="15" customHeight="1" x14ac:dyDescent="0.3">
      <c r="A18" s="91"/>
      <c r="B18" s="93"/>
      <c r="C18" s="46">
        <v>0.5625</v>
      </c>
      <c r="D18" s="54">
        <v>0.64583333333333337</v>
      </c>
      <c r="E18" s="55"/>
      <c r="F18" s="56" t="s">
        <v>230</v>
      </c>
      <c r="G18"/>
      <c r="H18" s="1"/>
      <c r="I18" s="1"/>
      <c r="L18"/>
      <c r="M18"/>
      <c r="N18"/>
      <c r="O18"/>
      <c r="P18"/>
      <c r="Q18"/>
      <c r="R18"/>
      <c r="S18"/>
      <c r="T18"/>
      <c r="V18"/>
      <c r="W18"/>
      <c r="X18"/>
    </row>
    <row r="19" spans="1:24" ht="15" customHeight="1" x14ac:dyDescent="0.3">
      <c r="A19" s="91"/>
      <c r="B19" s="93"/>
      <c r="C19" s="46">
        <v>0.70833333333333337</v>
      </c>
      <c r="D19" s="54">
        <v>0.83333333333333337</v>
      </c>
      <c r="E19" s="55"/>
      <c r="F19" s="56" t="s">
        <v>887</v>
      </c>
      <c r="G19"/>
      <c r="H19" s="1"/>
      <c r="I19" s="1"/>
      <c r="L19"/>
      <c r="M19"/>
      <c r="N19"/>
      <c r="O19"/>
      <c r="P19"/>
      <c r="Q19"/>
      <c r="R19"/>
      <c r="S19"/>
      <c r="T19"/>
      <c r="V19"/>
      <c r="W19"/>
      <c r="X19"/>
    </row>
    <row r="20" spans="1:24" ht="15" hidden="1" customHeight="1" x14ac:dyDescent="0.3">
      <c r="A20" s="91" t="s">
        <v>0</v>
      </c>
      <c r="B20" s="93" t="s">
        <v>1</v>
      </c>
      <c r="C20" s="50" t="s">
        <v>838</v>
      </c>
      <c r="D20" s="51" t="s">
        <v>2</v>
      </c>
      <c r="E20" s="52" t="s">
        <v>3</v>
      </c>
      <c r="F20" s="53" t="s">
        <v>4</v>
      </c>
      <c r="G20"/>
      <c r="H20" s="1"/>
      <c r="I20" s="1"/>
      <c r="L20"/>
      <c r="M20"/>
      <c r="N20"/>
      <c r="O20"/>
      <c r="P20"/>
      <c r="Q20"/>
      <c r="R20"/>
      <c r="S20"/>
      <c r="T20"/>
      <c r="V20"/>
      <c r="W20"/>
      <c r="X20"/>
    </row>
    <row r="21" spans="1:24" ht="15" customHeight="1" x14ac:dyDescent="0.3">
      <c r="A21" s="91" t="str">
        <f t="shared" ref="A21" si="8">PROPER(TEXT(B21, "dddd"))</f>
        <v>Fredag</v>
      </c>
      <c r="B21" s="93">
        <f t="shared" ref="B21" si="9">Fredag51</f>
        <v>46010</v>
      </c>
      <c r="C21" s="46">
        <v>0.375</v>
      </c>
      <c r="D21" s="54">
        <v>0.4375</v>
      </c>
      <c r="E21" s="55"/>
      <c r="F21" s="56" t="s">
        <v>521</v>
      </c>
      <c r="G21"/>
      <c r="H21" s="1"/>
      <c r="I21" s="1"/>
      <c r="L21"/>
      <c r="M21"/>
      <c r="N21"/>
      <c r="O21"/>
      <c r="P21"/>
      <c r="Q21"/>
      <c r="R21"/>
      <c r="S21"/>
      <c r="T21"/>
      <c r="V21"/>
      <c r="W21"/>
      <c r="X21"/>
    </row>
    <row r="22" spans="1:24" ht="15" customHeight="1" x14ac:dyDescent="0.3">
      <c r="A22" s="91"/>
      <c r="B22" s="93"/>
      <c r="C22" s="46">
        <v>0.41666666666666669</v>
      </c>
      <c r="D22" s="54">
        <v>0.5</v>
      </c>
      <c r="E22" s="55"/>
      <c r="F22" s="56" t="s">
        <v>643</v>
      </c>
      <c r="G22"/>
      <c r="H22" s="1"/>
      <c r="I22" s="1"/>
      <c r="L22"/>
      <c r="M22"/>
      <c r="N22"/>
      <c r="O22"/>
      <c r="P22"/>
      <c r="Q22"/>
      <c r="R22"/>
      <c r="S22"/>
      <c r="T22"/>
      <c r="V22"/>
      <c r="W22"/>
      <c r="X22"/>
    </row>
    <row r="23" spans="1:24" ht="15" customHeight="1" x14ac:dyDescent="0.3">
      <c r="A23" s="91"/>
      <c r="B23" s="93"/>
      <c r="C23" s="46">
        <v>0.45833333333333331</v>
      </c>
      <c r="D23" s="54">
        <v>0.54166666666666663</v>
      </c>
      <c r="E23" s="55"/>
      <c r="F23" s="56" t="s">
        <v>815</v>
      </c>
      <c r="G23"/>
      <c r="H23" s="1"/>
      <c r="I23" s="1"/>
      <c r="L23"/>
      <c r="M23"/>
      <c r="N23"/>
      <c r="O23"/>
      <c r="P23"/>
      <c r="Q23"/>
      <c r="R23"/>
      <c r="S23"/>
      <c r="T23"/>
      <c r="V23"/>
      <c r="W23"/>
      <c r="X23"/>
    </row>
    <row r="24" spans="1:24" ht="15" customHeight="1" x14ac:dyDescent="0.3">
      <c r="A24" s="91"/>
      <c r="B24" s="93"/>
      <c r="C24" s="46">
        <v>0.70833333333333337</v>
      </c>
      <c r="D24" s="54">
        <v>0.83333333333333337</v>
      </c>
      <c r="E24" s="55"/>
      <c r="F24" s="56" t="s">
        <v>887</v>
      </c>
      <c r="G24"/>
      <c r="H24" s="1"/>
      <c r="I24" s="1"/>
      <c r="L24"/>
      <c r="M24"/>
      <c r="N24"/>
      <c r="O24"/>
      <c r="P24"/>
      <c r="Q24"/>
      <c r="R24"/>
      <c r="S24"/>
      <c r="T24"/>
      <c r="V24"/>
      <c r="W24"/>
      <c r="X24"/>
    </row>
    <row r="25" spans="1:24" ht="15" hidden="1" customHeight="1" x14ac:dyDescent="0.3">
      <c r="A25" s="91" t="s">
        <v>0</v>
      </c>
      <c r="B25" s="93" t="s">
        <v>1</v>
      </c>
      <c r="C25" s="50" t="s">
        <v>838</v>
      </c>
      <c r="D25" s="51" t="s">
        <v>2</v>
      </c>
      <c r="E25" s="52" t="s">
        <v>3</v>
      </c>
      <c r="F25" s="53" t="s">
        <v>4</v>
      </c>
      <c r="G25"/>
      <c r="H25" s="1"/>
      <c r="I25" s="1"/>
      <c r="L25"/>
      <c r="M25"/>
      <c r="N25"/>
      <c r="O25"/>
      <c r="P25"/>
      <c r="Q25"/>
      <c r="R25"/>
      <c r="S25"/>
      <c r="T25"/>
      <c r="V25"/>
      <c r="W25"/>
      <c r="X25"/>
    </row>
    <row r="26" spans="1:24" ht="15" customHeight="1" x14ac:dyDescent="0.3">
      <c r="A26" s="91" t="str">
        <f t="shared" ref="A26" si="10">PROPER(TEXT(B26, "dddd"))</f>
        <v>Lördag</v>
      </c>
      <c r="B26" s="93">
        <f t="shared" ref="B26" si="11">Lördag51</f>
        <v>46011</v>
      </c>
      <c r="C26" s="46">
        <v>0.375</v>
      </c>
      <c r="D26" s="54">
        <v>0.625</v>
      </c>
      <c r="E26" s="55"/>
      <c r="F26" s="56" t="s">
        <v>887</v>
      </c>
      <c r="G26"/>
      <c r="H26" s="1"/>
      <c r="I26" s="1"/>
      <c r="L26"/>
      <c r="M26"/>
      <c r="N26"/>
      <c r="O26"/>
      <c r="P26"/>
      <c r="Q26"/>
      <c r="R26"/>
      <c r="S26"/>
      <c r="T26"/>
      <c r="V26"/>
      <c r="W26"/>
      <c r="X26"/>
    </row>
    <row r="27" spans="1:24" ht="15" hidden="1" customHeight="1" x14ac:dyDescent="0.3">
      <c r="A27" s="91" t="s">
        <v>0</v>
      </c>
      <c r="B27" s="93" t="s">
        <v>1</v>
      </c>
      <c r="C27" s="50" t="s">
        <v>838</v>
      </c>
      <c r="D27" s="51" t="s">
        <v>2</v>
      </c>
      <c r="E27" s="52" t="s">
        <v>3</v>
      </c>
      <c r="F27" s="53" t="s">
        <v>4</v>
      </c>
      <c r="G27"/>
      <c r="H27" s="1"/>
      <c r="I27" s="1"/>
      <c r="L27"/>
      <c r="M27"/>
      <c r="N27"/>
      <c r="O27"/>
      <c r="P27"/>
      <c r="Q27"/>
      <c r="R27"/>
      <c r="S27"/>
      <c r="T27"/>
      <c r="V27"/>
      <c r="W27"/>
      <c r="X27"/>
    </row>
    <row r="28" spans="1:24" ht="15" customHeight="1" x14ac:dyDescent="0.3">
      <c r="A28" s="91" t="str">
        <f t="shared" ref="A28" si="12">PROPER(TEXT(B28, "dddd"))</f>
        <v>Söndag</v>
      </c>
      <c r="B28" s="93">
        <f t="shared" ref="B28" si="13">Söndag51</f>
        <v>46012</v>
      </c>
      <c r="C28" s="46">
        <v>0.375</v>
      </c>
      <c r="D28" s="54">
        <v>0.79166666666666663</v>
      </c>
      <c r="E28" s="55"/>
      <c r="F28" s="56" t="s">
        <v>887</v>
      </c>
      <c r="G28"/>
      <c r="H28" s="1"/>
      <c r="I28" s="1"/>
      <c r="L28"/>
      <c r="M28"/>
      <c r="N28"/>
      <c r="O28"/>
      <c r="P28"/>
      <c r="Q28"/>
      <c r="R28"/>
      <c r="S28"/>
      <c r="T28"/>
      <c r="V28"/>
      <c r="W28"/>
      <c r="X28"/>
    </row>
    <row r="30" spans="1:24" ht="15" customHeight="1" x14ac:dyDescent="0.3">
      <c r="C30" s="46"/>
      <c r="D30" s="47"/>
    </row>
    <row r="31" spans="1:24" ht="15" customHeight="1" x14ac:dyDescent="0.3">
      <c r="C31" s="46"/>
      <c r="D31" s="8"/>
    </row>
    <row r="32" spans="1:24" ht="15" customHeight="1" x14ac:dyDescent="0.3">
      <c r="C32" s="46"/>
      <c r="D32" s="8"/>
    </row>
  </sheetData>
  <sheetProtection algorithmName="SHA-512" hashValue="TC35jqDVnW/MGXaKbHuIXEreIKH9B49vXbSAG862/aXF9Tg6fLWp5jr/oKZ3tVz6E2yd0ijm2M1zWHipqlC5Nw==" saltValue="BBhsimgVwtcBPkfl6Y/nfA==" spinCount="100000" sheet="1" objects="1" scenarios="1" autoFilter="0" pivotTables="0"/>
  <sortState xmlns:xlrd2="http://schemas.microsoft.com/office/spreadsheetml/2017/richdata2" ref="A10:F14">
    <sortCondition ref="C10:C14"/>
  </sortState>
  <conditionalFormatting sqref="A3 A5:A8 A16:A19 A21:A24 A26 A28 A10:A14">
    <cfRule type="cellIs" dxfId="235" priority="1" operator="equal">
      <formula>"Datum"</formula>
    </cfRule>
    <cfRule type="cellIs" dxfId="234" priority="2" operator="equal">
      <formula>"Dag"</formula>
    </cfRule>
    <cfRule type="expression" dxfId="233" priority="4">
      <formula>OR(IF($A2="Dag",1))</formula>
    </cfRule>
  </conditionalFormatting>
  <conditionalFormatting sqref="A27">
    <cfRule type="expression" dxfId="232" priority="22">
      <formula>OR(IF(#REF!="Dag",1))</formula>
    </cfRule>
  </conditionalFormatting>
  <conditionalFormatting sqref="A1:B2 B3 A4:B4 B5:B8 A9:B9 A15:B15 B16:B19 A20:B20 B21:B24 A25:B25 B26 A27:B27 B28 A29:B1048576 B10:B14">
    <cfRule type="cellIs" dxfId="231" priority="14" operator="equal">
      <formula>"Datum"</formula>
    </cfRule>
    <cfRule type="cellIs" dxfId="230" priority="15" operator="equal">
      <formula>"Dag"</formula>
    </cfRule>
  </conditionalFormatting>
  <conditionalFormatting sqref="B3 B5:B8 B10:B14 B16:B19 B21:B24 B26 B28">
    <cfRule type="expression" dxfId="229" priority="21">
      <formula>OR(IF($B2="Datum",1))</formula>
    </cfRule>
  </conditionalFormatting>
  <conditionalFormatting sqref="C3:E28">
    <cfRule type="expression" dxfId="228" priority="18">
      <formula>OR(IF($E3="Hela hallen",1))</formula>
    </cfRule>
  </conditionalFormatting>
  <conditionalFormatting sqref="L1:T1048576">
    <cfRule type="cellIs" dxfId="227" priority="13" operator="equal">
      <formula>"-"</formula>
    </cfRule>
  </conditionalFormatting>
  <conditionalFormatting sqref="A15 A20 A25">
    <cfRule type="expression" dxfId="226" priority="1354">
      <formula>OR(IF(#REF!="Dag",1))</formula>
    </cfRule>
  </conditionalFormatting>
  <conditionalFormatting sqref="B15 B20 B25 B27">
    <cfRule type="expression" dxfId="225" priority="1358">
      <formula>OR(IF(#REF!="Datum",1))</formula>
    </cfRule>
  </conditionalFormatting>
  <conditionalFormatting sqref="C3:F28">
    <cfRule type="expression" dxfId="224" priority="2557">
      <formula>OR(IF(#REF!=TRUE,1))</formula>
    </cfRule>
  </conditionalFormatting>
  <conditionalFormatting sqref="A4 A9">
    <cfRule type="expression" dxfId="223" priority="2558">
      <formula>OR(IF(#REF!="Dag",1))</formula>
    </cfRule>
  </conditionalFormatting>
  <conditionalFormatting sqref="B4 B9">
    <cfRule type="expression" dxfId="222" priority="2560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E1B0372-0961-4EA8-8B04-A9008A943509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A5:B8 A10:B14 A16:B19 A21:B24 A26:B26 A28:B28</xm:sqref>
        </x14:conditionalFormatting>
        <x14:conditionalFormatting xmlns:xm="http://schemas.microsoft.com/office/excel/2006/main">
          <x14:cfRule type="expression" priority="2569" id="{00310B2C-26A8-4875-9866-92923D1A4220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A9:B9 A15:B15 A20:B20 A25:B25 A27:B27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57104E-6B96-45D7-BF2C-A97FF92995A7}">
          <x14:formula1>
            <xm:f>Listor!$A$2:$A$150</xm:f>
          </x14:formula1>
          <xm:sqref>E3 E5:E8 E16:E19 E21:E24 E26 E28 E10:E14</xm:sqref>
        </x14:dataValidation>
        <x14:dataValidation type="list" allowBlank="1" showInputMessage="1" showErrorMessage="1" xr:uid="{0442F533-968C-4DE1-A0DC-43FC89DF5D67}">
          <x14:formula1>
            <xm:f>Kontaktuppgifter!$A$2:$A$300</xm:f>
          </x14:formula1>
          <xm:sqref>F3 F5:F8 F16:F19 F21:F24 F26 F28 F10:F14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0816D-B690-4C40-8397-235B949B571E}">
  <sheetPr codeName="Blad53"/>
  <dimension ref="A1:Y19"/>
  <sheetViews>
    <sheetView showGridLines="0" zoomScaleNormal="100" workbookViewId="0">
      <pane ySplit="2" topLeftCell="A3" activePane="bottomLeft" state="frozen"/>
      <selection activeCell="G20" sqref="G20"/>
      <selection pane="bottomLeft"/>
    </sheetView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Måndag52</f>
        <v>46013</v>
      </c>
      <c r="W1" s="39">
        <f>Söndag52</f>
        <v>46019</v>
      </c>
      <c r="X1" s="40">
        <f>WEEKNUM(Söndag52, 2)</f>
        <v>52</v>
      </c>
      <c r="Y1" s="41" t="str">
        <f>"V. "&amp;X1&amp;", "&amp;TEXT(V1,"D MMM")&amp;"-"&amp;TEXT(W1,"D MMM")</f>
        <v>V. 52, 22 dec-28 dec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Måndag52</f>
        <v>46013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2">PROPER(TEXT(B5, "dddd"))</f>
        <v>Tisdag</v>
      </c>
      <c r="B5" s="93">
        <f t="shared" ref="B5" si="3">Tisdag52</f>
        <v>46014</v>
      </c>
      <c r="C5" s="46">
        <v>0.70833333333333337</v>
      </c>
      <c r="D5" s="54">
        <v>0.83333333333333337</v>
      </c>
      <c r="E5" s="55"/>
      <c r="F5" s="56" t="s">
        <v>887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</row>
    <row r="7" spans="1:25" ht="15" customHeight="1" x14ac:dyDescent="0.3">
      <c r="A7" s="91" t="str">
        <f t="shared" ref="A7" si="4">PROPER(TEXT(B7, "dddd"))</f>
        <v>Onsdag</v>
      </c>
      <c r="B7" s="93">
        <f t="shared" ref="B7" si="5">Onsdag52</f>
        <v>46015</v>
      </c>
      <c r="C7" s="46">
        <v>0.70833333333333337</v>
      </c>
      <c r="D7" s="54">
        <v>0.83333333333333337</v>
      </c>
      <c r="E7" s="55"/>
      <c r="F7" s="56" t="s">
        <v>887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</row>
    <row r="9" spans="1:25" ht="15" customHeight="1" x14ac:dyDescent="0.3">
      <c r="A9" s="91" t="str">
        <f t="shared" ref="A9" si="6">PROPER(TEXT(B9, "dddd"))</f>
        <v>Torsdag</v>
      </c>
      <c r="B9" s="93">
        <f t="shared" ref="B9" si="7">Torsdag52</f>
        <v>46016</v>
      </c>
      <c r="C9" s="46">
        <v>0.70833333333333337</v>
      </c>
      <c r="D9" s="54">
        <v>0.83333333333333337</v>
      </c>
      <c r="E9" s="55"/>
      <c r="F9" s="56" t="s">
        <v>887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91" t="s">
        <v>0</v>
      </c>
      <c r="B10" s="93" t="s">
        <v>1</v>
      </c>
      <c r="C10" s="50" t="s">
        <v>838</v>
      </c>
      <c r="D10" s="51" t="s">
        <v>2</v>
      </c>
      <c r="E10" s="52" t="s">
        <v>3</v>
      </c>
      <c r="F10" s="53" t="s">
        <v>4</v>
      </c>
    </row>
    <row r="11" spans="1:25" ht="15" customHeight="1" x14ac:dyDescent="0.3">
      <c r="A11" s="91" t="str">
        <f t="shared" ref="A11" si="8">PROPER(TEXT(B11, "dddd"))</f>
        <v>Fredag</v>
      </c>
      <c r="B11" s="93">
        <f t="shared" ref="B11" si="9">Fredag52</f>
        <v>46017</v>
      </c>
      <c r="C11" s="46">
        <v>0.70833333333333337</v>
      </c>
      <c r="D11" s="54">
        <v>0.83333333333333337</v>
      </c>
      <c r="E11" s="55"/>
      <c r="F11" s="56" t="s">
        <v>887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 t="shared" ref="A13" si="10">PROPER(TEXT(B13, "dddd"))</f>
        <v>Lördag</v>
      </c>
      <c r="B13" s="93">
        <f t="shared" ref="B13" si="11">Lördag52</f>
        <v>46018</v>
      </c>
      <c r="C13" s="46">
        <v>0.375</v>
      </c>
      <c r="D13" s="54">
        <v>0.625</v>
      </c>
      <c r="E13" s="55"/>
      <c r="F13" s="56" t="s">
        <v>887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</row>
    <row r="15" spans="1:25" ht="15" customHeight="1" x14ac:dyDescent="0.3">
      <c r="A15" s="91" t="str">
        <f t="shared" ref="A15" si="12">PROPER(TEXT(B15, "dddd"))</f>
        <v>Söndag</v>
      </c>
      <c r="B15" s="93">
        <f t="shared" ref="B15" si="13">Söndag52</f>
        <v>46019</v>
      </c>
      <c r="C15" s="46">
        <v>0.375</v>
      </c>
      <c r="D15" s="54">
        <v>0.79166666666666663</v>
      </c>
      <c r="E15" s="55"/>
      <c r="F15" s="56" t="s">
        <v>887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6"/>
      <c r="D17" s="47"/>
    </row>
    <row r="18" spans="3:4" ht="15" customHeight="1" x14ac:dyDescent="0.3">
      <c r="C18" s="46"/>
      <c r="D18" s="8"/>
    </row>
    <row r="19" spans="3:4" ht="15" customHeight="1" x14ac:dyDescent="0.3">
      <c r="C19" s="46"/>
      <c r="D19" s="8"/>
    </row>
  </sheetData>
  <sheetProtection algorithmName="SHA-512" hashValue="QUuzhTZf1Tp/RdMi9cSOv8fQJjO6c5rkdV2RfSEAkiQvHHOGgJCqmILQh1aiHxxBJu1ILkHGAcsHk258ISMwZQ==" saltValue="wUZi2Jxw0WTI/J21tqqKCw==" spinCount="100000" sheet="1" objects="1" scenarios="1" autoFilter="0" pivotTables="0"/>
  <sortState xmlns:xlrd2="http://schemas.microsoft.com/office/spreadsheetml/2017/richdata2" ref="A11:F11">
    <sortCondition ref="C11"/>
  </sortState>
  <conditionalFormatting sqref="A3 A5 A7 A9 A11 A13 A15">
    <cfRule type="cellIs" dxfId="163" priority="1" operator="equal">
      <formula>"Datum"</formula>
    </cfRule>
    <cfRule type="cellIs" dxfId="162" priority="2" operator="equal">
      <formula>"Dag"</formula>
    </cfRule>
    <cfRule type="expression" dxfId="161" priority="4">
      <formula>OR(IF($A2="Dag",1))</formula>
    </cfRule>
  </conditionalFormatting>
  <conditionalFormatting sqref="A14">
    <cfRule type="expression" dxfId="160" priority="22">
      <formula>OR(IF(#REF!="Dag",1))</formula>
    </cfRule>
  </conditionalFormatting>
  <conditionalFormatting sqref="A1:B2 B3 A4:B4 B5 A6:B6 B7 A8:B8 B9 A10:B10 B11 A12:B12 B13 A14:B14 B15 A16:B1048576">
    <cfRule type="cellIs" dxfId="159" priority="14" operator="equal">
      <formula>"Datum"</formula>
    </cfRule>
    <cfRule type="cellIs" dxfId="158" priority="15" operator="equal">
      <formula>"Dag"</formula>
    </cfRule>
  </conditionalFormatting>
  <conditionalFormatting sqref="B3 B5 B7 B9 B11 B13 B15">
    <cfRule type="expression" dxfId="157" priority="21">
      <formula>OR(IF($B2="Datum",1))</formula>
    </cfRule>
  </conditionalFormatting>
  <conditionalFormatting sqref="C3:E15">
    <cfRule type="expression" dxfId="156" priority="18">
      <formula>OR(IF($E3="Hela hallen",1))</formula>
    </cfRule>
  </conditionalFormatting>
  <conditionalFormatting sqref="L1:T1048576">
    <cfRule type="cellIs" dxfId="155" priority="13" operator="equal">
      <formula>"-"</formula>
    </cfRule>
  </conditionalFormatting>
  <conditionalFormatting sqref="C3:F15">
    <cfRule type="expression" dxfId="154" priority="2571">
      <formula>OR(IF(#REF!=TRUE,1))</formula>
    </cfRule>
  </conditionalFormatting>
  <conditionalFormatting sqref="A4 A6 A8 A10 A12">
    <cfRule type="expression" dxfId="153" priority="2572">
      <formula>OR(IF(#REF!="Dag",1))</formula>
    </cfRule>
  </conditionalFormatting>
  <conditionalFormatting sqref="B4 B6 B8 B10 B12 B14">
    <cfRule type="expression" dxfId="152" priority="2574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F5F02B8-BF1C-42B3-AC75-09106E46D2D9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A7:B7 A9:B9 A11:B11 A13:B13 A15:B15</xm:sqref>
        </x14:conditionalFormatting>
        <x14:conditionalFormatting xmlns:xm="http://schemas.microsoft.com/office/excel/2006/main">
          <x14:cfRule type="expression" priority="2583" id="{9B57A7B7-E9D6-459C-BE03-D0A475C366B7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09877D-50DB-40D0-9C43-9B81EF25649C}">
          <x14:formula1>
            <xm:f>Kontaktuppgifter!$A$2:$A$300</xm:f>
          </x14:formula1>
          <xm:sqref>F3 F5 F7 F9 F11 F13 F15</xm:sqref>
        </x14:dataValidation>
        <x14:dataValidation type="list" allowBlank="1" showInputMessage="1" showErrorMessage="1" xr:uid="{D6314C33-90E4-42A9-A397-09CB026F55DD}">
          <x14:formula1>
            <xm:f>Listor!$A$2:$A$150</xm:f>
          </x14:formula1>
          <xm:sqref>E3 E5 E7 E9 E11 E13 E15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9002-2206-422E-9F75-A32B32FDC09E}">
  <sheetPr codeName="Blad54"/>
  <dimension ref="A1:Y19"/>
  <sheetViews>
    <sheetView showGridLines="0" showRowColHeaders="0" zoomScaleNormal="100" workbookViewId="0"/>
  </sheetViews>
  <sheetFormatPr defaultColWidth="8.88671875" defaultRowHeight="15" customHeight="1" x14ac:dyDescent="0.3"/>
  <cols>
    <col min="1" max="1" width="8.88671875" style="36" customWidth="1"/>
    <col min="2" max="2" width="11.6640625" style="36" customWidth="1"/>
    <col min="3" max="3" width="7.6640625" style="37" customWidth="1"/>
    <col min="4" max="4" width="7.6640625" customWidth="1"/>
    <col min="5" max="5" width="11.6640625" style="1" customWidth="1"/>
    <col min="6" max="6" width="39.6640625" style="8" customWidth="1"/>
    <col min="7" max="7" width="35.6640625" style="8" customWidth="1"/>
    <col min="8" max="8" width="13.6640625" style="38" customWidth="1"/>
    <col min="9" max="9" width="25.6640625" style="8" customWidth="1"/>
    <col min="10" max="10" width="20.6640625" style="1" customWidth="1"/>
    <col min="11" max="11" width="13.44140625" bestFit="1" customWidth="1"/>
    <col min="12" max="12" width="20.6640625" style="8" customWidth="1"/>
    <col min="13" max="13" width="21.33203125" style="3" customWidth="1"/>
    <col min="14" max="14" width="37.6640625" style="8" customWidth="1"/>
    <col min="15" max="15" width="75.6640625" style="8" customWidth="1"/>
    <col min="16" max="16" width="44.6640625" style="8" customWidth="1"/>
    <col min="17" max="17" width="19.6640625" style="8" customWidth="1"/>
    <col min="18" max="18" width="24.6640625" style="8" customWidth="1"/>
    <col min="19" max="19" width="16.6640625" style="8" customWidth="1"/>
    <col min="20" max="20" width="15.6640625" style="8" customWidth="1"/>
    <col min="22" max="22" width="10.33203125" style="1" bestFit="1" customWidth="1"/>
    <col min="23" max="23" width="10.44140625" style="1" bestFit="1" customWidth="1"/>
    <col min="24" max="24" width="8.88671875" style="1"/>
    <col min="25" max="25" width="25.6640625" customWidth="1"/>
  </cols>
  <sheetData>
    <row r="1" spans="1:25" ht="34.950000000000003" customHeight="1" x14ac:dyDescent="0.3">
      <c r="A1" s="35" t="str">
        <f>"HALLBOKNINGAR "&amp;Kalenderår!A1</f>
        <v>HALLBOKNINGAR 2025</v>
      </c>
      <c r="V1" s="39">
        <f>Måndag53</f>
        <v>46020</v>
      </c>
      <c r="W1" s="39">
        <f>Söndag53</f>
        <v>46026</v>
      </c>
      <c r="X1" s="40">
        <f>WEEKNUM(Söndag53, 2)</f>
        <v>1</v>
      </c>
      <c r="Y1" s="41" t="str">
        <f>"V. "&amp;X1&amp;", "&amp;TEXT(V1,"D MMM")&amp;"-"&amp;TEXT(W1,"D MMM")</f>
        <v>V. 1, 29 dec-4 jan</v>
      </c>
    </row>
    <row r="2" spans="1:25" s="45" customFormat="1" ht="15" customHeight="1" x14ac:dyDescent="0.3">
      <c r="A2" s="89" t="s">
        <v>0</v>
      </c>
      <c r="B2" s="90" t="s">
        <v>1</v>
      </c>
      <c r="C2" s="42" t="s">
        <v>838</v>
      </c>
      <c r="D2" s="43" t="s">
        <v>2</v>
      </c>
      <c r="E2" s="44" t="s">
        <v>3</v>
      </c>
      <c r="F2" s="44" t="s">
        <v>4</v>
      </c>
    </row>
    <row r="3" spans="1:25" ht="15" customHeight="1" x14ac:dyDescent="0.3">
      <c r="A3" s="91" t="str">
        <f t="shared" ref="A3" si="0">PROPER(TEXT(B3, "dddd"))</f>
        <v>Måndag</v>
      </c>
      <c r="B3" s="92">
        <f t="shared" ref="B3" si="1">Måndag53</f>
        <v>46020</v>
      </c>
      <c r="C3" s="46">
        <v>0.70833333333333337</v>
      </c>
      <c r="D3" s="47">
        <v>0.83333333333333337</v>
      </c>
      <c r="E3" s="48"/>
      <c r="F3" s="49" t="s">
        <v>887</v>
      </c>
      <c r="G3"/>
      <c r="H3" s="1"/>
      <c r="I3" s="1"/>
      <c r="L3"/>
      <c r="M3"/>
      <c r="N3"/>
      <c r="O3"/>
      <c r="P3"/>
      <c r="Q3"/>
      <c r="R3"/>
      <c r="S3"/>
      <c r="T3"/>
      <c r="V3"/>
      <c r="W3"/>
      <c r="X3"/>
    </row>
    <row r="4" spans="1:25" s="10" customFormat="1" ht="20.100000000000001" hidden="1" customHeight="1" x14ac:dyDescent="0.3">
      <c r="A4" s="91" t="s">
        <v>0</v>
      </c>
      <c r="B4" s="93" t="s">
        <v>1</v>
      </c>
      <c r="C4" s="50" t="s">
        <v>838</v>
      </c>
      <c r="D4" s="51" t="s">
        <v>2</v>
      </c>
      <c r="E4" s="52" t="s">
        <v>3</v>
      </c>
      <c r="F4" s="53" t="s">
        <v>4</v>
      </c>
    </row>
    <row r="5" spans="1:25" ht="15" customHeight="1" x14ac:dyDescent="0.3">
      <c r="A5" s="91" t="str">
        <f t="shared" ref="A5" si="2">PROPER(TEXT(B5, "dddd"))</f>
        <v>Tisdag</v>
      </c>
      <c r="B5" s="93">
        <f t="shared" ref="B5" si="3">Tisdag53</f>
        <v>46021</v>
      </c>
      <c r="C5" s="46">
        <v>0.70833333333333337</v>
      </c>
      <c r="D5" s="54">
        <v>0.83333333333333337</v>
      </c>
      <c r="E5" s="55"/>
      <c r="F5" s="56" t="s">
        <v>887</v>
      </c>
      <c r="G5"/>
      <c r="H5" s="1"/>
      <c r="I5" s="1"/>
      <c r="L5"/>
      <c r="M5"/>
      <c r="N5"/>
      <c r="O5"/>
      <c r="P5"/>
      <c r="Q5"/>
      <c r="R5"/>
      <c r="S5"/>
      <c r="T5"/>
      <c r="V5"/>
      <c r="W5"/>
      <c r="X5"/>
    </row>
    <row r="6" spans="1:25" s="10" customFormat="1" ht="20.100000000000001" hidden="1" customHeight="1" x14ac:dyDescent="0.3">
      <c r="A6" s="91" t="s">
        <v>0</v>
      </c>
      <c r="B6" s="93" t="s">
        <v>1</v>
      </c>
      <c r="C6" s="50" t="s">
        <v>838</v>
      </c>
      <c r="D6" s="51" t="s">
        <v>2</v>
      </c>
      <c r="E6" s="52" t="s">
        <v>3</v>
      </c>
      <c r="F6" s="53" t="s">
        <v>4</v>
      </c>
    </row>
    <row r="7" spans="1:25" ht="15" customHeight="1" x14ac:dyDescent="0.3">
      <c r="A7" s="91" t="str">
        <f t="shared" ref="A7" si="4">PROPER(TEXT(B7, "dddd"))</f>
        <v>Onsdag</v>
      </c>
      <c r="B7" s="93">
        <f t="shared" ref="B7" si="5">Onsdag53</f>
        <v>46022</v>
      </c>
      <c r="C7" s="46">
        <v>0.70833333333333337</v>
      </c>
      <c r="D7" s="54">
        <v>0.83333333333333337</v>
      </c>
      <c r="E7" s="55"/>
      <c r="F7" s="56" t="s">
        <v>887</v>
      </c>
      <c r="G7"/>
      <c r="H7" s="1"/>
      <c r="I7" s="1"/>
      <c r="L7"/>
      <c r="M7"/>
      <c r="N7"/>
      <c r="O7"/>
      <c r="P7"/>
      <c r="Q7"/>
      <c r="R7"/>
      <c r="S7"/>
      <c r="T7"/>
      <c r="V7"/>
      <c r="W7"/>
      <c r="X7"/>
    </row>
    <row r="8" spans="1:25" s="10" customFormat="1" ht="20.100000000000001" hidden="1" customHeight="1" x14ac:dyDescent="0.3">
      <c r="A8" s="91" t="s">
        <v>0</v>
      </c>
      <c r="B8" s="93" t="s">
        <v>1</v>
      </c>
      <c r="C8" s="50" t="s">
        <v>838</v>
      </c>
      <c r="D8" s="51" t="s">
        <v>2</v>
      </c>
      <c r="E8" s="52" t="s">
        <v>3</v>
      </c>
      <c r="F8" s="53" t="s">
        <v>4</v>
      </c>
    </row>
    <row r="9" spans="1:25" ht="15" customHeight="1" x14ac:dyDescent="0.3">
      <c r="A9" s="91" t="str">
        <f t="shared" ref="A9" si="6">PROPER(TEXT(B9, "dddd"))</f>
        <v>Torsdag</v>
      </c>
      <c r="B9" s="93">
        <f t="shared" ref="B9" si="7">Torsdag53</f>
        <v>46023</v>
      </c>
      <c r="C9" s="46">
        <v>0.70833333333333337</v>
      </c>
      <c r="D9" s="54">
        <v>0.83333333333333337</v>
      </c>
      <c r="E9" s="55"/>
      <c r="F9" s="56" t="s">
        <v>887</v>
      </c>
      <c r="G9"/>
      <c r="H9" s="1"/>
      <c r="I9" s="1"/>
      <c r="L9"/>
      <c r="M9"/>
      <c r="N9"/>
      <c r="O9"/>
      <c r="P9"/>
      <c r="Q9"/>
      <c r="R9"/>
      <c r="S9"/>
      <c r="T9"/>
      <c r="V9"/>
      <c r="W9"/>
      <c r="X9"/>
    </row>
    <row r="10" spans="1:25" s="10" customFormat="1" ht="20.100000000000001" hidden="1" customHeight="1" x14ac:dyDescent="0.3">
      <c r="A10" s="91" t="s">
        <v>0</v>
      </c>
      <c r="B10" s="93" t="s">
        <v>1</v>
      </c>
      <c r="C10" s="50" t="s">
        <v>838</v>
      </c>
      <c r="D10" s="51" t="s">
        <v>2</v>
      </c>
      <c r="E10" s="52" t="s">
        <v>3</v>
      </c>
      <c r="F10" s="53" t="s">
        <v>4</v>
      </c>
    </row>
    <row r="11" spans="1:25" ht="15" customHeight="1" x14ac:dyDescent="0.3">
      <c r="A11" s="91" t="str">
        <f t="shared" ref="A11" si="8">PROPER(TEXT(B11, "dddd"))</f>
        <v>Fredag</v>
      </c>
      <c r="B11" s="93">
        <f t="shared" ref="B11" si="9">Fredag53</f>
        <v>46024</v>
      </c>
      <c r="C11" s="46">
        <v>0.70833333333333337</v>
      </c>
      <c r="D11" s="54">
        <v>0.83333333333333337</v>
      </c>
      <c r="E11" s="55"/>
      <c r="F11" s="56" t="s">
        <v>887</v>
      </c>
      <c r="G11"/>
      <c r="H11" s="1"/>
      <c r="I11" s="1"/>
      <c r="L11"/>
      <c r="M11"/>
      <c r="N11"/>
      <c r="O11"/>
      <c r="P11"/>
      <c r="Q11"/>
      <c r="R11"/>
      <c r="S11"/>
      <c r="T11"/>
      <c r="V11"/>
      <c r="W11"/>
      <c r="X11"/>
    </row>
    <row r="12" spans="1:25" s="10" customFormat="1" ht="20.100000000000001" hidden="1" customHeight="1" x14ac:dyDescent="0.3">
      <c r="A12" s="91" t="s">
        <v>0</v>
      </c>
      <c r="B12" s="93" t="s">
        <v>1</v>
      </c>
      <c r="C12" s="50" t="s">
        <v>838</v>
      </c>
      <c r="D12" s="51" t="s">
        <v>2</v>
      </c>
      <c r="E12" s="52" t="s">
        <v>3</v>
      </c>
      <c r="F12" s="53" t="s">
        <v>4</v>
      </c>
    </row>
    <row r="13" spans="1:25" ht="15" customHeight="1" x14ac:dyDescent="0.3">
      <c r="A13" s="91" t="str">
        <f t="shared" ref="A13" si="10">PROPER(TEXT(B13, "dddd"))</f>
        <v>Lördag</v>
      </c>
      <c r="B13" s="93">
        <f t="shared" ref="B13" si="11">Lördag53</f>
        <v>46025</v>
      </c>
      <c r="C13" s="46">
        <v>0.375</v>
      </c>
      <c r="D13" s="54">
        <v>0.625</v>
      </c>
      <c r="E13" s="55"/>
      <c r="F13" s="56" t="s">
        <v>887</v>
      </c>
      <c r="G13"/>
      <c r="H13" s="1"/>
      <c r="I13" s="1"/>
      <c r="L13"/>
      <c r="M13"/>
      <c r="N13"/>
      <c r="O13"/>
      <c r="P13"/>
      <c r="Q13"/>
      <c r="R13"/>
      <c r="S13"/>
      <c r="T13"/>
      <c r="V13"/>
      <c r="W13"/>
      <c r="X13"/>
    </row>
    <row r="14" spans="1:25" s="10" customFormat="1" ht="20.100000000000001" hidden="1" customHeight="1" x14ac:dyDescent="0.3">
      <c r="A14" s="91" t="s">
        <v>0</v>
      </c>
      <c r="B14" s="93" t="s">
        <v>1</v>
      </c>
      <c r="C14" s="50" t="s">
        <v>838</v>
      </c>
      <c r="D14" s="51" t="s">
        <v>2</v>
      </c>
      <c r="E14" s="52" t="s">
        <v>3</v>
      </c>
      <c r="F14" s="53" t="s">
        <v>4</v>
      </c>
    </row>
    <row r="15" spans="1:25" ht="15" customHeight="1" x14ac:dyDescent="0.3">
      <c r="A15" s="91" t="str">
        <f t="shared" ref="A15" si="12">PROPER(TEXT(B15, "dddd"))</f>
        <v>Söndag</v>
      </c>
      <c r="B15" s="93">
        <f t="shared" ref="B15" si="13">Söndag53</f>
        <v>46026</v>
      </c>
      <c r="C15" s="46">
        <v>0.375</v>
      </c>
      <c r="D15" s="54">
        <v>0.79166666666666663</v>
      </c>
      <c r="E15" s="55"/>
      <c r="F15" s="56" t="s">
        <v>887</v>
      </c>
      <c r="G15"/>
      <c r="H15" s="1"/>
      <c r="I15" s="1"/>
      <c r="L15"/>
      <c r="M15"/>
      <c r="N15"/>
      <c r="O15"/>
      <c r="P15"/>
      <c r="Q15"/>
      <c r="R15"/>
      <c r="S15"/>
      <c r="T15"/>
      <c r="V15"/>
      <c r="W15"/>
      <c r="X15"/>
    </row>
    <row r="17" spans="3:4" ht="15" customHeight="1" x14ac:dyDescent="0.3">
      <c r="C17" s="46"/>
      <c r="D17" s="47"/>
    </row>
    <row r="18" spans="3:4" ht="15" customHeight="1" x14ac:dyDescent="0.3">
      <c r="C18" s="46"/>
      <c r="D18" s="8"/>
    </row>
    <row r="19" spans="3:4" ht="15" customHeight="1" x14ac:dyDescent="0.3">
      <c r="C19" s="46"/>
      <c r="D19" s="8"/>
    </row>
  </sheetData>
  <sheetProtection algorithmName="SHA-512" hashValue="pS4Sh7u/sfZqOiuP1PNrqq6hvUNh6JzLpWiJEhTevsv9SrIfBoi5O3SbQ3VXUiSn9x8C/D4ko4y6y5OOHlc1jg==" saltValue="vRUjmbIwOzVZCgDraGbAyw==" spinCount="100000" sheet="1" objects="1" scenarios="1" autoFilter="0" pivotTables="0"/>
  <sortState xmlns:xlrd2="http://schemas.microsoft.com/office/spreadsheetml/2017/richdata2" ref="A11:F11">
    <sortCondition ref="C11"/>
  </sortState>
  <conditionalFormatting sqref="A3 A5 A7 A9 A11 A13 A15">
    <cfRule type="cellIs" dxfId="93" priority="1" operator="equal">
      <formula>"Datum"</formula>
    </cfRule>
    <cfRule type="cellIs" dxfId="92" priority="2" operator="equal">
      <formula>"Dag"</formula>
    </cfRule>
    <cfRule type="expression" dxfId="91" priority="4">
      <formula>OR(IF($A2="Dag",1))</formula>
    </cfRule>
  </conditionalFormatting>
  <conditionalFormatting sqref="A14">
    <cfRule type="expression" dxfId="90" priority="22">
      <formula>OR(IF(#REF!="Dag",1))</formula>
    </cfRule>
  </conditionalFormatting>
  <conditionalFormatting sqref="A1:B2 B3 A4:B4 B5 A6:B6 B7 A8:B8 B9 A10:B10 B11 A12:B12 B13 A14:B14 B15 A16:B1048576">
    <cfRule type="cellIs" dxfId="89" priority="14" operator="equal">
      <formula>"Datum"</formula>
    </cfRule>
    <cfRule type="cellIs" dxfId="88" priority="15" operator="equal">
      <formula>"Dag"</formula>
    </cfRule>
  </conditionalFormatting>
  <conditionalFormatting sqref="B3 B5 B7 B9 B11 B13 B15">
    <cfRule type="expression" dxfId="87" priority="21">
      <formula>OR(IF($B2="Datum",1))</formula>
    </cfRule>
  </conditionalFormatting>
  <conditionalFormatting sqref="C3:E15">
    <cfRule type="expression" dxfId="86" priority="18">
      <formula>OR(IF($E3="Hela hallen",1))</formula>
    </cfRule>
  </conditionalFormatting>
  <conditionalFormatting sqref="L1:T1048576">
    <cfRule type="cellIs" dxfId="85" priority="13" operator="equal">
      <formula>"-"</formula>
    </cfRule>
  </conditionalFormatting>
  <conditionalFormatting sqref="C3:F15">
    <cfRule type="expression" dxfId="84" priority="2585">
      <formula>OR(IF(#REF!=TRUE,1))</formula>
    </cfRule>
  </conditionalFormatting>
  <conditionalFormatting sqref="A4 A6 A8 A10 A12">
    <cfRule type="expression" dxfId="83" priority="2586">
      <formula>OR(IF(#REF!="Dag",1))</formula>
    </cfRule>
  </conditionalFormatting>
  <conditionalFormatting sqref="B4 B6 B8 B10 B12 B14">
    <cfRule type="expression" dxfId="82" priority="2588">
      <formula>OR(IF(#REF!="Datum",1))</formula>
    </cfRule>
  </conditionalFormatting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B851C58-5FB0-481E-AFAF-87B7D2B8EC5A}">
            <xm:f>AND(IF(ISERROR(MATCH($B3,Kalenderår!$A$3:$A$17,0)),FALSE,TRUE), IF($B2="Datum",TRUE,FALSE), IF($A2="Dag",TRUE,FALSE))</xm:f>
            <x14:dxf>
              <font>
                <color rgb="FFC00000"/>
              </font>
            </x14:dxf>
          </x14:cfRule>
          <xm:sqref>A3:B3 A5:B5 A7:B7 A9:B9 A11:B11 A13:B13 A15:B15</xm:sqref>
        </x14:conditionalFormatting>
        <x14:conditionalFormatting xmlns:xm="http://schemas.microsoft.com/office/excel/2006/main">
          <x14:cfRule type="expression" priority="2597" id="{4A4B1387-A3E6-413A-A368-BCC80055C8FE}">
            <xm:f>AND(IF(ISERROR(MATCH($B4,Kalenderår!$A$3:$A$17,0)),FALSE,TRUE), IF(#REF!="Datum",TRUE,FALSE), IF(#REF!="Dag",TRUE,FALSE))</xm:f>
            <x14:dxf>
              <font>
                <color rgb="FFC00000"/>
              </font>
            </x14:dxf>
          </x14:cfRule>
          <xm:sqref>A4:B4 A6:B6 A8:B8 A10:B10 A12:B12 A14:B14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DDAE14-63E5-42FA-8EDA-D25320CF5F77}">
          <x14:formula1>
            <xm:f>Kontaktuppgifter!$A$2:$A$300</xm:f>
          </x14:formula1>
          <xm:sqref>F3 F5 F7 F9 F11 F13 F15</xm:sqref>
        </x14:dataValidation>
        <x14:dataValidation type="list" allowBlank="1" showInputMessage="1" showErrorMessage="1" xr:uid="{95B6AC94-BB15-408F-9120-5B25CEE2E6AE}">
          <x14:formula1>
            <xm:f>Listor!$A$2:$A$150</xm:f>
          </x14:formula1>
          <xm:sqref>E3 E5 E7 E9 E11 E13 E15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C39EB-977A-4D6F-9239-CDC8AD5E8E83}">
  <sheetPr codeName="Blad56"/>
  <dimension ref="A1:V300"/>
  <sheetViews>
    <sheetView workbookViewId="0">
      <selection activeCell="A2" sqref="A2:A300"/>
    </sheetView>
  </sheetViews>
  <sheetFormatPr defaultColWidth="9.109375" defaultRowHeight="14.4" x14ac:dyDescent="0.3"/>
  <cols>
    <col min="1" max="1" width="43" bestFit="1" customWidth="1"/>
    <col min="2" max="2" width="84.33203125" bestFit="1" customWidth="1"/>
    <col min="3" max="3" width="43.6640625" bestFit="1" customWidth="1"/>
    <col min="4" max="4" width="24" bestFit="1" customWidth="1"/>
    <col min="5" max="5" width="32.88671875" bestFit="1" customWidth="1"/>
    <col min="6" max="6" width="24.6640625" style="3" bestFit="1" customWidth="1"/>
    <col min="7" max="7" width="45.6640625" bestFit="1" customWidth="1"/>
    <col min="8" max="8" width="24.88671875" bestFit="1" customWidth="1"/>
    <col min="9" max="9" width="16.44140625" bestFit="1" customWidth="1"/>
    <col min="10" max="10" width="14.109375" bestFit="1" customWidth="1"/>
  </cols>
  <sheetData>
    <row r="1" spans="1:22" s="2" customFormat="1" ht="15" customHeight="1" x14ac:dyDescent="0.3">
      <c r="A1" s="10" t="s">
        <v>4</v>
      </c>
      <c r="B1" s="10" t="s">
        <v>10</v>
      </c>
      <c r="C1" s="10" t="s">
        <v>11</v>
      </c>
      <c r="D1" s="10" t="s">
        <v>12</v>
      </c>
      <c r="E1" s="10" t="s">
        <v>7</v>
      </c>
      <c r="F1" s="13" t="s">
        <v>8</v>
      </c>
      <c r="G1" s="10" t="s">
        <v>9</v>
      </c>
      <c r="H1" s="10" t="s">
        <v>13</v>
      </c>
      <c r="I1" s="10" t="s">
        <v>14</v>
      </c>
      <c r="J1" s="10" t="s">
        <v>15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5" customHeight="1" x14ac:dyDescent="0.3">
      <c r="A2" t="s">
        <v>145</v>
      </c>
      <c r="B2" t="s">
        <v>145</v>
      </c>
      <c r="C2" t="s">
        <v>145</v>
      </c>
      <c r="D2" t="s">
        <v>145</v>
      </c>
      <c r="E2" t="s">
        <v>145</v>
      </c>
      <c r="F2" s="3" t="s">
        <v>145</v>
      </c>
      <c r="G2" t="s">
        <v>145</v>
      </c>
      <c r="H2" t="s">
        <v>145</v>
      </c>
      <c r="I2" t="s">
        <v>145</v>
      </c>
      <c r="J2" s="11" t="s">
        <v>145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5" customHeight="1" x14ac:dyDescent="0.3">
      <c r="A3" t="s">
        <v>146</v>
      </c>
      <c r="B3" t="s">
        <v>145</v>
      </c>
      <c r="C3" t="s">
        <v>145</v>
      </c>
      <c r="D3" t="s">
        <v>145</v>
      </c>
      <c r="E3" t="s">
        <v>147</v>
      </c>
      <c r="F3" s="3" t="s">
        <v>145</v>
      </c>
      <c r="G3" t="s">
        <v>145</v>
      </c>
      <c r="H3" t="s">
        <v>145</v>
      </c>
      <c r="I3" t="s">
        <v>145</v>
      </c>
      <c r="J3" s="11" t="s">
        <v>145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x14ac:dyDescent="0.3">
      <c r="A4" t="s">
        <v>148</v>
      </c>
      <c r="B4" t="s">
        <v>149</v>
      </c>
      <c r="C4" t="s">
        <v>150</v>
      </c>
      <c r="D4" t="s">
        <v>151</v>
      </c>
      <c r="E4" t="s">
        <v>152</v>
      </c>
      <c r="F4" s="3" t="s">
        <v>145</v>
      </c>
      <c r="G4" t="s">
        <v>150</v>
      </c>
      <c r="H4" t="s">
        <v>145</v>
      </c>
      <c r="I4" t="s">
        <v>145</v>
      </c>
      <c r="J4" s="11" t="s">
        <v>145</v>
      </c>
    </row>
    <row r="5" spans="1:22" x14ac:dyDescent="0.3">
      <c r="A5" t="s">
        <v>844</v>
      </c>
      <c r="B5" t="s">
        <v>145</v>
      </c>
      <c r="C5" t="s">
        <v>145</v>
      </c>
      <c r="D5" t="s">
        <v>145</v>
      </c>
      <c r="E5" t="s">
        <v>845</v>
      </c>
      <c r="F5" s="3" t="s">
        <v>145</v>
      </c>
      <c r="G5" s="4" t="s">
        <v>846</v>
      </c>
      <c r="H5" t="s">
        <v>145</v>
      </c>
      <c r="I5" t="s">
        <v>145</v>
      </c>
      <c r="J5" s="11" t="s">
        <v>145</v>
      </c>
    </row>
    <row r="6" spans="1:22" x14ac:dyDescent="0.3">
      <c r="A6" t="s">
        <v>153</v>
      </c>
      <c r="B6" t="s">
        <v>154</v>
      </c>
      <c r="C6" t="s">
        <v>145</v>
      </c>
      <c r="D6" t="s">
        <v>155</v>
      </c>
      <c r="E6" t="s">
        <v>156</v>
      </c>
      <c r="F6" s="3" t="s">
        <v>157</v>
      </c>
      <c r="G6" t="s">
        <v>158</v>
      </c>
      <c r="H6" t="s">
        <v>145</v>
      </c>
      <c r="I6" t="s">
        <v>145</v>
      </c>
      <c r="J6" s="11" t="s">
        <v>145</v>
      </c>
    </row>
    <row r="7" spans="1:22" x14ac:dyDescent="0.3">
      <c r="A7" t="s">
        <v>159</v>
      </c>
      <c r="B7" t="s">
        <v>145</v>
      </c>
      <c r="C7" t="s">
        <v>145</v>
      </c>
      <c r="D7" t="s">
        <v>145</v>
      </c>
      <c r="E7" t="s">
        <v>145</v>
      </c>
      <c r="F7" s="3" t="s">
        <v>145</v>
      </c>
      <c r="G7" t="s">
        <v>145</v>
      </c>
      <c r="H7" t="s">
        <v>145</v>
      </c>
      <c r="I7" t="s">
        <v>145</v>
      </c>
      <c r="J7" s="11" t="s">
        <v>145</v>
      </c>
    </row>
    <row r="8" spans="1:22" x14ac:dyDescent="0.3">
      <c r="A8" t="s">
        <v>160</v>
      </c>
      <c r="B8" t="s">
        <v>145</v>
      </c>
      <c r="C8" t="s">
        <v>145</v>
      </c>
      <c r="D8" t="s">
        <v>145</v>
      </c>
      <c r="E8" t="s">
        <v>161</v>
      </c>
      <c r="F8" s="3" t="s">
        <v>162</v>
      </c>
      <c r="G8" t="s">
        <v>163</v>
      </c>
      <c r="H8" t="s">
        <v>145</v>
      </c>
      <c r="I8" t="s">
        <v>145</v>
      </c>
      <c r="J8" s="11" t="s">
        <v>145</v>
      </c>
    </row>
    <row r="9" spans="1:22" x14ac:dyDescent="0.3">
      <c r="A9" t="s">
        <v>164</v>
      </c>
      <c r="B9" t="s">
        <v>145</v>
      </c>
      <c r="C9" t="s">
        <v>145</v>
      </c>
      <c r="D9" t="s">
        <v>145</v>
      </c>
      <c r="E9" t="s">
        <v>165</v>
      </c>
      <c r="F9" s="3" t="s">
        <v>166</v>
      </c>
      <c r="G9" t="s">
        <v>167</v>
      </c>
      <c r="H9" t="s">
        <v>145</v>
      </c>
      <c r="I9" t="s">
        <v>145</v>
      </c>
      <c r="J9" s="11" t="s">
        <v>145</v>
      </c>
    </row>
    <row r="10" spans="1:22" x14ac:dyDescent="0.3">
      <c r="A10" t="s">
        <v>847</v>
      </c>
      <c r="B10" t="s">
        <v>145</v>
      </c>
      <c r="C10" t="s">
        <v>145</v>
      </c>
      <c r="D10" t="s">
        <v>169</v>
      </c>
      <c r="E10" t="s">
        <v>849</v>
      </c>
      <c r="F10" s="3" t="s">
        <v>850</v>
      </c>
      <c r="G10" s="4" t="s">
        <v>848</v>
      </c>
      <c r="H10" t="s">
        <v>145</v>
      </c>
      <c r="I10" t="s">
        <v>145</v>
      </c>
      <c r="J10" s="11" t="s">
        <v>145</v>
      </c>
    </row>
    <row r="11" spans="1:22" x14ac:dyDescent="0.3">
      <c r="A11" t="s">
        <v>856</v>
      </c>
      <c r="B11" t="s">
        <v>145</v>
      </c>
      <c r="C11" t="s">
        <v>145</v>
      </c>
      <c r="D11" t="s">
        <v>169</v>
      </c>
      <c r="E11" t="s">
        <v>857</v>
      </c>
      <c r="F11" s="3" t="s">
        <v>859</v>
      </c>
      <c r="G11" s="4" t="s">
        <v>858</v>
      </c>
      <c r="H11" t="s">
        <v>145</v>
      </c>
      <c r="I11" t="s">
        <v>145</v>
      </c>
      <c r="J11" s="11" t="s">
        <v>145</v>
      </c>
    </row>
    <row r="12" spans="1:22" x14ac:dyDescent="0.3">
      <c r="A12" t="s">
        <v>861</v>
      </c>
      <c r="B12" t="s">
        <v>145</v>
      </c>
      <c r="C12" t="s">
        <v>145</v>
      </c>
      <c r="D12" t="s">
        <v>169</v>
      </c>
      <c r="E12" t="s">
        <v>862</v>
      </c>
      <c r="F12" s="3" t="s">
        <v>863</v>
      </c>
      <c r="G12" s="4" t="s">
        <v>864</v>
      </c>
      <c r="H12" t="s">
        <v>145</v>
      </c>
      <c r="I12" t="s">
        <v>145</v>
      </c>
      <c r="J12" s="11" t="s">
        <v>145</v>
      </c>
    </row>
    <row r="13" spans="1:22" x14ac:dyDescent="0.3">
      <c r="A13" t="s">
        <v>168</v>
      </c>
      <c r="B13" t="s">
        <v>145</v>
      </c>
      <c r="C13" t="s">
        <v>145</v>
      </c>
      <c r="D13" t="s">
        <v>169</v>
      </c>
      <c r="E13" t="s">
        <v>170</v>
      </c>
      <c r="F13" s="3" t="s">
        <v>171</v>
      </c>
      <c r="G13" t="s">
        <v>172</v>
      </c>
      <c r="H13" t="s">
        <v>145</v>
      </c>
      <c r="I13" t="s">
        <v>145</v>
      </c>
      <c r="J13" s="11" t="s">
        <v>145</v>
      </c>
    </row>
    <row r="14" spans="1:22" x14ac:dyDescent="0.3">
      <c r="A14" t="s">
        <v>173</v>
      </c>
      <c r="B14" t="s">
        <v>145</v>
      </c>
      <c r="C14" t="s">
        <v>145</v>
      </c>
      <c r="D14" t="s">
        <v>145</v>
      </c>
      <c r="E14" t="s">
        <v>174</v>
      </c>
      <c r="F14" s="3" t="s">
        <v>175</v>
      </c>
      <c r="G14" t="s">
        <v>176</v>
      </c>
      <c r="H14" t="s">
        <v>145</v>
      </c>
      <c r="I14" t="s">
        <v>145</v>
      </c>
      <c r="J14" s="11" t="s">
        <v>145</v>
      </c>
    </row>
    <row r="15" spans="1:22" x14ac:dyDescent="0.3">
      <c r="A15" t="s">
        <v>939</v>
      </c>
      <c r="B15" t="s">
        <v>145</v>
      </c>
      <c r="C15" t="s">
        <v>145</v>
      </c>
      <c r="D15" t="s">
        <v>169</v>
      </c>
      <c r="E15" t="s">
        <v>940</v>
      </c>
      <c r="F15" s="3" t="s">
        <v>941</v>
      </c>
      <c r="G15" t="s">
        <v>176</v>
      </c>
      <c r="H15" t="s">
        <v>145</v>
      </c>
      <c r="I15" t="s">
        <v>145</v>
      </c>
      <c r="J15" s="11" t="s">
        <v>145</v>
      </c>
    </row>
    <row r="16" spans="1:22" x14ac:dyDescent="0.3">
      <c r="A16" t="s">
        <v>177</v>
      </c>
      <c r="B16" t="s">
        <v>145</v>
      </c>
      <c r="C16" t="s">
        <v>145</v>
      </c>
      <c r="D16" t="s">
        <v>178</v>
      </c>
      <c r="E16" t="s">
        <v>179</v>
      </c>
      <c r="F16" s="3" t="s">
        <v>180</v>
      </c>
      <c r="G16" t="s">
        <v>181</v>
      </c>
      <c r="H16" t="s">
        <v>145</v>
      </c>
      <c r="I16" t="s">
        <v>145</v>
      </c>
      <c r="J16" s="11" t="s">
        <v>145</v>
      </c>
    </row>
    <row r="17" spans="1:10" x14ac:dyDescent="0.3">
      <c r="A17" t="s">
        <v>182</v>
      </c>
      <c r="B17" t="s">
        <v>183</v>
      </c>
      <c r="C17" t="s">
        <v>145</v>
      </c>
      <c r="D17" t="s">
        <v>145</v>
      </c>
      <c r="E17" t="s">
        <v>184</v>
      </c>
      <c r="F17" s="3" t="s">
        <v>185</v>
      </c>
      <c r="G17" t="s">
        <v>186</v>
      </c>
      <c r="H17" t="s">
        <v>145</v>
      </c>
      <c r="I17" t="s">
        <v>145</v>
      </c>
      <c r="J17" s="11" t="s">
        <v>145</v>
      </c>
    </row>
    <row r="18" spans="1:10" x14ac:dyDescent="0.3">
      <c r="A18" t="s">
        <v>187</v>
      </c>
      <c r="B18" t="s">
        <v>145</v>
      </c>
      <c r="C18" t="s">
        <v>145</v>
      </c>
      <c r="D18" t="s">
        <v>188</v>
      </c>
      <c r="E18" t="s">
        <v>189</v>
      </c>
      <c r="F18" s="3" t="s">
        <v>190</v>
      </c>
      <c r="G18" t="s">
        <v>191</v>
      </c>
      <c r="H18" t="s">
        <v>145</v>
      </c>
      <c r="I18" t="s">
        <v>145</v>
      </c>
      <c r="J18" s="11" t="s">
        <v>145</v>
      </c>
    </row>
    <row r="19" spans="1:10" x14ac:dyDescent="0.3">
      <c r="A19" t="s">
        <v>192</v>
      </c>
      <c r="B19" t="s">
        <v>145</v>
      </c>
      <c r="C19" t="s">
        <v>145</v>
      </c>
      <c r="D19" t="s">
        <v>145</v>
      </c>
      <c r="E19" t="s">
        <v>193</v>
      </c>
      <c r="F19" s="3" t="s">
        <v>194</v>
      </c>
      <c r="G19" t="s">
        <v>195</v>
      </c>
      <c r="H19" t="s">
        <v>145</v>
      </c>
      <c r="I19" t="s">
        <v>145</v>
      </c>
      <c r="J19" s="11" t="s">
        <v>145</v>
      </c>
    </row>
    <row r="20" spans="1:10" x14ac:dyDescent="0.3">
      <c r="A20" t="s">
        <v>922</v>
      </c>
      <c r="B20" t="s">
        <v>145</v>
      </c>
      <c r="C20" t="s">
        <v>145</v>
      </c>
      <c r="D20" t="s">
        <v>169</v>
      </c>
      <c r="E20" t="s">
        <v>924</v>
      </c>
      <c r="F20" s="3" t="s">
        <v>925</v>
      </c>
      <c r="G20" t="s">
        <v>923</v>
      </c>
      <c r="H20" t="s">
        <v>145</v>
      </c>
      <c r="I20" t="s">
        <v>145</v>
      </c>
      <c r="J20" s="11" t="s">
        <v>145</v>
      </c>
    </row>
    <row r="21" spans="1:10" x14ac:dyDescent="0.3">
      <c r="A21" t="s">
        <v>196</v>
      </c>
      <c r="B21" t="s">
        <v>145</v>
      </c>
      <c r="C21" t="s">
        <v>145</v>
      </c>
      <c r="D21" t="s">
        <v>169</v>
      </c>
      <c r="E21" t="s">
        <v>197</v>
      </c>
      <c r="F21" s="3" t="s">
        <v>198</v>
      </c>
      <c r="G21" t="s">
        <v>199</v>
      </c>
      <c r="H21" t="s">
        <v>145</v>
      </c>
      <c r="I21" t="s">
        <v>145</v>
      </c>
      <c r="J21" s="11" t="s">
        <v>145</v>
      </c>
    </row>
    <row r="22" spans="1:10" x14ac:dyDescent="0.3">
      <c r="A22" t="s">
        <v>878</v>
      </c>
      <c r="B22" t="s">
        <v>145</v>
      </c>
      <c r="C22" t="s">
        <v>145</v>
      </c>
      <c r="D22" t="s">
        <v>169</v>
      </c>
      <c r="E22" t="s">
        <v>875</v>
      </c>
      <c r="F22" s="3" t="s">
        <v>876</v>
      </c>
      <c r="G22" t="s">
        <v>877</v>
      </c>
      <c r="H22" t="s">
        <v>145</v>
      </c>
      <c r="I22" t="s">
        <v>145</v>
      </c>
      <c r="J22" s="11" t="s">
        <v>145</v>
      </c>
    </row>
    <row r="23" spans="1:10" x14ac:dyDescent="0.3">
      <c r="A23" t="s">
        <v>200</v>
      </c>
      <c r="B23" t="s">
        <v>145</v>
      </c>
      <c r="C23" t="s">
        <v>145</v>
      </c>
      <c r="D23" t="s">
        <v>169</v>
      </c>
      <c r="E23" t="s">
        <v>201</v>
      </c>
      <c r="F23" s="3" t="s">
        <v>202</v>
      </c>
      <c r="G23" t="s">
        <v>203</v>
      </c>
      <c r="H23" t="s">
        <v>145</v>
      </c>
      <c r="I23" t="s">
        <v>145</v>
      </c>
      <c r="J23" s="11" t="s">
        <v>145</v>
      </c>
    </row>
    <row r="24" spans="1:10" x14ac:dyDescent="0.3">
      <c r="A24" t="s">
        <v>204</v>
      </c>
      <c r="B24" t="s">
        <v>205</v>
      </c>
      <c r="C24" s="4" t="s">
        <v>206</v>
      </c>
      <c r="D24" t="s">
        <v>145</v>
      </c>
      <c r="E24" t="s">
        <v>207</v>
      </c>
      <c r="F24" s="3">
        <v>709922031</v>
      </c>
      <c r="G24" s="4" t="s">
        <v>208</v>
      </c>
      <c r="H24" t="s">
        <v>145</v>
      </c>
      <c r="I24" t="s">
        <v>145</v>
      </c>
      <c r="J24" s="11" t="s">
        <v>145</v>
      </c>
    </row>
    <row r="25" spans="1:10" x14ac:dyDescent="0.3">
      <c r="A25" t="s">
        <v>209</v>
      </c>
      <c r="B25" t="s">
        <v>210</v>
      </c>
      <c r="C25" t="s">
        <v>211</v>
      </c>
      <c r="D25" t="s">
        <v>145</v>
      </c>
      <c r="E25" t="s">
        <v>212</v>
      </c>
      <c r="F25" s="3" t="s">
        <v>213</v>
      </c>
      <c r="G25" t="s">
        <v>211</v>
      </c>
      <c r="H25" t="s">
        <v>145</v>
      </c>
      <c r="I25" t="s">
        <v>145</v>
      </c>
      <c r="J25" s="11" t="s">
        <v>145</v>
      </c>
    </row>
    <row r="26" spans="1:10" x14ac:dyDescent="0.3">
      <c r="A26" t="s">
        <v>214</v>
      </c>
      <c r="B26" t="s">
        <v>145</v>
      </c>
      <c r="C26" t="s">
        <v>215</v>
      </c>
      <c r="D26" t="s">
        <v>145</v>
      </c>
      <c r="E26" t="s">
        <v>216</v>
      </c>
      <c r="F26" s="3" t="s">
        <v>145</v>
      </c>
      <c r="G26" t="s">
        <v>215</v>
      </c>
      <c r="H26" t="s">
        <v>145</v>
      </c>
      <c r="I26" t="s">
        <v>145</v>
      </c>
      <c r="J26" s="11" t="s">
        <v>145</v>
      </c>
    </row>
    <row r="27" spans="1:10" x14ac:dyDescent="0.3">
      <c r="A27" t="s">
        <v>217</v>
      </c>
      <c r="B27" t="s">
        <v>145</v>
      </c>
      <c r="C27" t="s">
        <v>218</v>
      </c>
      <c r="D27" t="s">
        <v>145</v>
      </c>
      <c r="E27" t="s">
        <v>219</v>
      </c>
      <c r="F27" s="3" t="s">
        <v>220</v>
      </c>
      <c r="G27" t="s">
        <v>221</v>
      </c>
      <c r="H27" t="s">
        <v>145</v>
      </c>
      <c r="I27" t="s">
        <v>145</v>
      </c>
      <c r="J27" s="11" t="s">
        <v>145</v>
      </c>
    </row>
    <row r="28" spans="1:10" x14ac:dyDescent="0.3">
      <c r="A28" t="s">
        <v>222</v>
      </c>
      <c r="B28" t="s">
        <v>145</v>
      </c>
      <c r="C28" t="s">
        <v>145</v>
      </c>
      <c r="D28" t="s">
        <v>145</v>
      </c>
      <c r="E28" t="s">
        <v>223</v>
      </c>
      <c r="F28" s="3" t="s">
        <v>145</v>
      </c>
      <c r="G28" t="s">
        <v>145</v>
      </c>
      <c r="H28" t="s">
        <v>145</v>
      </c>
      <c r="I28" t="s">
        <v>145</v>
      </c>
      <c r="J28" s="11" t="s">
        <v>145</v>
      </c>
    </row>
    <row r="29" spans="1:10" x14ac:dyDescent="0.3">
      <c r="A29" t="s">
        <v>28</v>
      </c>
      <c r="B29" t="s">
        <v>145</v>
      </c>
      <c r="C29" t="s">
        <v>145</v>
      </c>
      <c r="D29" t="s">
        <v>145</v>
      </c>
      <c r="E29" t="s">
        <v>145</v>
      </c>
      <c r="F29" s="3" t="s">
        <v>145</v>
      </c>
      <c r="G29" t="s">
        <v>145</v>
      </c>
      <c r="H29" t="s">
        <v>145</v>
      </c>
      <c r="I29" t="s">
        <v>145</v>
      </c>
      <c r="J29" s="11" t="s">
        <v>145</v>
      </c>
    </row>
    <row r="30" spans="1:10" x14ac:dyDescent="0.3">
      <c r="A30" t="s">
        <v>224</v>
      </c>
      <c r="B30" t="s">
        <v>225</v>
      </c>
      <c r="C30" t="s">
        <v>145</v>
      </c>
      <c r="D30" t="s">
        <v>226</v>
      </c>
      <c r="E30" t="s">
        <v>227</v>
      </c>
      <c r="F30" s="3" t="s">
        <v>228</v>
      </c>
      <c r="G30" t="s">
        <v>229</v>
      </c>
      <c r="H30" t="s">
        <v>145</v>
      </c>
      <c r="I30" t="s">
        <v>145</v>
      </c>
      <c r="J30" s="11" t="s">
        <v>145</v>
      </c>
    </row>
    <row r="31" spans="1:10" x14ac:dyDescent="0.3">
      <c r="A31" t="s">
        <v>230</v>
      </c>
      <c r="B31" t="s">
        <v>145</v>
      </c>
      <c r="C31" t="s">
        <v>145</v>
      </c>
      <c r="D31" t="s">
        <v>145</v>
      </c>
      <c r="E31" t="s">
        <v>145</v>
      </c>
      <c r="F31" s="3" t="s">
        <v>145</v>
      </c>
      <c r="G31" t="s">
        <v>145</v>
      </c>
      <c r="H31" t="s">
        <v>145</v>
      </c>
      <c r="I31" t="s">
        <v>145</v>
      </c>
      <c r="J31" s="11" t="s">
        <v>145</v>
      </c>
    </row>
    <row r="32" spans="1:10" x14ac:dyDescent="0.3">
      <c r="A32" t="s">
        <v>231</v>
      </c>
      <c r="B32" t="s">
        <v>145</v>
      </c>
      <c r="C32" t="s">
        <v>232</v>
      </c>
      <c r="D32" t="s">
        <v>145</v>
      </c>
      <c r="E32" t="s">
        <v>233</v>
      </c>
      <c r="F32" s="3" t="s">
        <v>145</v>
      </c>
      <c r="G32" t="s">
        <v>145</v>
      </c>
      <c r="H32" t="s">
        <v>145</v>
      </c>
      <c r="I32" t="s">
        <v>145</v>
      </c>
      <c r="J32" s="11" t="s">
        <v>145</v>
      </c>
    </row>
    <row r="33" spans="1:10" x14ac:dyDescent="0.3">
      <c r="A33" t="s">
        <v>234</v>
      </c>
      <c r="B33" t="s">
        <v>235</v>
      </c>
      <c r="C33" t="s">
        <v>145</v>
      </c>
      <c r="D33" t="s">
        <v>236</v>
      </c>
      <c r="E33" t="s">
        <v>237</v>
      </c>
      <c r="F33" s="3" t="s">
        <v>238</v>
      </c>
      <c r="G33" t="s">
        <v>239</v>
      </c>
      <c r="H33" t="s">
        <v>240</v>
      </c>
      <c r="I33" t="s">
        <v>145</v>
      </c>
      <c r="J33" s="11" t="s">
        <v>145</v>
      </c>
    </row>
    <row r="34" spans="1:10" x14ac:dyDescent="0.3">
      <c r="A34" t="s">
        <v>241</v>
      </c>
      <c r="B34" t="s">
        <v>145</v>
      </c>
      <c r="C34" t="s">
        <v>145</v>
      </c>
      <c r="D34" t="s">
        <v>145</v>
      </c>
      <c r="E34" t="s">
        <v>145</v>
      </c>
      <c r="F34" s="3" t="s">
        <v>145</v>
      </c>
      <c r="G34" t="s">
        <v>145</v>
      </c>
      <c r="H34" t="s">
        <v>145</v>
      </c>
      <c r="I34" t="s">
        <v>145</v>
      </c>
      <c r="J34" s="11" t="s">
        <v>145</v>
      </c>
    </row>
    <row r="35" spans="1:10" x14ac:dyDescent="0.3">
      <c r="A35" t="s">
        <v>242</v>
      </c>
      <c r="B35" t="s">
        <v>243</v>
      </c>
      <c r="C35" t="s">
        <v>244</v>
      </c>
      <c r="D35" t="s">
        <v>145</v>
      </c>
      <c r="E35" t="s">
        <v>245</v>
      </c>
      <c r="F35" s="3" t="s">
        <v>246</v>
      </c>
      <c r="G35" t="s">
        <v>247</v>
      </c>
      <c r="H35" t="s">
        <v>145</v>
      </c>
      <c r="I35" t="s">
        <v>145</v>
      </c>
      <c r="J35" s="11" t="s">
        <v>145</v>
      </c>
    </row>
    <row r="36" spans="1:10" x14ac:dyDescent="0.3">
      <c r="A36" t="s">
        <v>248</v>
      </c>
      <c r="B36" t="s">
        <v>243</v>
      </c>
      <c r="C36" t="s">
        <v>244</v>
      </c>
      <c r="D36" t="s">
        <v>145</v>
      </c>
      <c r="E36" t="s">
        <v>249</v>
      </c>
      <c r="F36" s="3" t="s">
        <v>250</v>
      </c>
      <c r="G36" t="s">
        <v>251</v>
      </c>
      <c r="H36" t="s">
        <v>145</v>
      </c>
      <c r="I36" t="s">
        <v>145</v>
      </c>
      <c r="J36" s="11" t="s">
        <v>145</v>
      </c>
    </row>
    <row r="37" spans="1:10" x14ac:dyDescent="0.3">
      <c r="A37" t="s">
        <v>252</v>
      </c>
      <c r="B37" t="s">
        <v>253</v>
      </c>
      <c r="C37" t="s">
        <v>145</v>
      </c>
      <c r="D37" t="s">
        <v>145</v>
      </c>
      <c r="E37" t="s">
        <v>145</v>
      </c>
      <c r="F37" s="3" t="s">
        <v>145</v>
      </c>
      <c r="G37" t="s">
        <v>145</v>
      </c>
      <c r="H37" t="s">
        <v>145</v>
      </c>
      <c r="I37" t="s">
        <v>145</v>
      </c>
      <c r="J37" s="11" t="s">
        <v>145</v>
      </c>
    </row>
    <row r="38" spans="1:10" x14ac:dyDescent="0.3">
      <c r="A38" t="s">
        <v>254</v>
      </c>
      <c r="B38" t="s">
        <v>255</v>
      </c>
      <c r="C38" t="s">
        <v>256</v>
      </c>
      <c r="D38" t="s">
        <v>145</v>
      </c>
      <c r="E38" t="s">
        <v>257</v>
      </c>
      <c r="F38" s="3" t="s">
        <v>145</v>
      </c>
      <c r="G38" t="s">
        <v>258</v>
      </c>
      <c r="H38" t="s">
        <v>145</v>
      </c>
      <c r="I38" t="s">
        <v>145</v>
      </c>
      <c r="J38" s="11" t="s">
        <v>145</v>
      </c>
    </row>
    <row r="39" spans="1:10" x14ac:dyDescent="0.3">
      <c r="A39" t="s">
        <v>259</v>
      </c>
      <c r="B39" t="s">
        <v>145</v>
      </c>
      <c r="C39" t="s">
        <v>145</v>
      </c>
      <c r="D39" t="s">
        <v>145</v>
      </c>
      <c r="E39" t="s">
        <v>145</v>
      </c>
      <c r="F39" s="3" t="s">
        <v>145</v>
      </c>
      <c r="G39" t="s">
        <v>145</v>
      </c>
      <c r="H39" t="s">
        <v>145</v>
      </c>
      <c r="I39" t="s">
        <v>145</v>
      </c>
      <c r="J39" s="11" t="s">
        <v>145</v>
      </c>
    </row>
    <row r="40" spans="1:10" x14ac:dyDescent="0.3">
      <c r="A40" t="s">
        <v>902</v>
      </c>
      <c r="B40" t="s">
        <v>235</v>
      </c>
      <c r="C40" t="s">
        <v>145</v>
      </c>
      <c r="D40" t="s">
        <v>906</v>
      </c>
      <c r="E40" t="s">
        <v>903</v>
      </c>
      <c r="F40" s="3" t="s">
        <v>904</v>
      </c>
      <c r="G40" s="4" t="s">
        <v>905</v>
      </c>
      <c r="H40" t="s">
        <v>145</v>
      </c>
      <c r="I40" t="s">
        <v>145</v>
      </c>
      <c r="J40" s="11" t="s">
        <v>145</v>
      </c>
    </row>
    <row r="41" spans="1:10" x14ac:dyDescent="0.3">
      <c r="A41" t="s">
        <v>260</v>
      </c>
      <c r="B41" t="s">
        <v>261</v>
      </c>
      <c r="C41" t="s">
        <v>145</v>
      </c>
      <c r="D41" t="s">
        <v>262</v>
      </c>
      <c r="E41" t="s">
        <v>263</v>
      </c>
      <c r="F41" s="3" t="s">
        <v>264</v>
      </c>
      <c r="G41" t="s">
        <v>265</v>
      </c>
      <c r="H41" t="s">
        <v>266</v>
      </c>
      <c r="I41" t="s">
        <v>145</v>
      </c>
      <c r="J41" s="11" t="s">
        <v>145</v>
      </c>
    </row>
    <row r="42" spans="1:10" x14ac:dyDescent="0.3">
      <c r="A42" t="s">
        <v>267</v>
      </c>
      <c r="B42" t="s">
        <v>268</v>
      </c>
      <c r="C42" t="s">
        <v>145</v>
      </c>
      <c r="D42" t="s">
        <v>269</v>
      </c>
      <c r="E42" t="s">
        <v>270</v>
      </c>
      <c r="F42" s="3" t="s">
        <v>145</v>
      </c>
      <c r="G42" t="s">
        <v>271</v>
      </c>
      <c r="H42" t="s">
        <v>145</v>
      </c>
      <c r="I42" t="s">
        <v>145</v>
      </c>
      <c r="J42" s="11" t="s">
        <v>145</v>
      </c>
    </row>
    <row r="43" spans="1:10" x14ac:dyDescent="0.3">
      <c r="A43" t="s">
        <v>272</v>
      </c>
      <c r="B43" t="s">
        <v>273</v>
      </c>
      <c r="C43" t="s">
        <v>145</v>
      </c>
      <c r="D43" t="s">
        <v>274</v>
      </c>
      <c r="E43" t="s">
        <v>275</v>
      </c>
      <c r="F43" s="3" t="s">
        <v>276</v>
      </c>
      <c r="G43" t="s">
        <v>277</v>
      </c>
      <c r="H43" t="s">
        <v>240</v>
      </c>
      <c r="I43" t="s">
        <v>145</v>
      </c>
      <c r="J43" s="11" t="s">
        <v>145</v>
      </c>
    </row>
    <row r="44" spans="1:10" x14ac:dyDescent="0.3">
      <c r="A44" t="s">
        <v>959</v>
      </c>
      <c r="B44" t="s">
        <v>145</v>
      </c>
      <c r="C44" t="s">
        <v>145</v>
      </c>
      <c r="D44" t="s">
        <v>145</v>
      </c>
      <c r="E44" t="s">
        <v>145</v>
      </c>
      <c r="F44" s="3" t="s">
        <v>145</v>
      </c>
      <c r="G44" t="s">
        <v>145</v>
      </c>
      <c r="H44" t="s">
        <v>145</v>
      </c>
      <c r="I44" t="s">
        <v>145</v>
      </c>
      <c r="J44" s="11" t="s">
        <v>145</v>
      </c>
    </row>
    <row r="45" spans="1:10" x14ac:dyDescent="0.3">
      <c r="A45" t="s">
        <v>278</v>
      </c>
      <c r="B45" t="s">
        <v>279</v>
      </c>
      <c r="C45" t="s">
        <v>145</v>
      </c>
      <c r="D45" t="s">
        <v>280</v>
      </c>
      <c r="E45" t="s">
        <v>281</v>
      </c>
      <c r="F45" s="3" t="s">
        <v>282</v>
      </c>
      <c r="G45" t="s">
        <v>283</v>
      </c>
      <c r="H45" t="s">
        <v>145</v>
      </c>
      <c r="I45" t="s">
        <v>145</v>
      </c>
      <c r="J45" s="11" t="s">
        <v>145</v>
      </c>
    </row>
    <row r="46" spans="1:10" x14ac:dyDescent="0.3">
      <c r="A46" t="s">
        <v>284</v>
      </c>
      <c r="B46" t="s">
        <v>145</v>
      </c>
      <c r="C46" t="s">
        <v>285</v>
      </c>
      <c r="D46" t="s">
        <v>145</v>
      </c>
      <c r="E46" t="s">
        <v>286</v>
      </c>
      <c r="F46" s="3" t="s">
        <v>145</v>
      </c>
      <c r="G46" t="s">
        <v>287</v>
      </c>
      <c r="H46" t="s">
        <v>145</v>
      </c>
      <c r="I46" t="s">
        <v>145</v>
      </c>
      <c r="J46" s="11" t="s">
        <v>145</v>
      </c>
    </row>
    <row r="47" spans="1:10" x14ac:dyDescent="0.3">
      <c r="A47" t="s">
        <v>288</v>
      </c>
      <c r="B47" t="s">
        <v>289</v>
      </c>
      <c r="C47" t="s">
        <v>285</v>
      </c>
      <c r="D47" t="s">
        <v>145</v>
      </c>
      <c r="E47" t="s">
        <v>290</v>
      </c>
      <c r="F47" s="3" t="s">
        <v>145</v>
      </c>
      <c r="G47" t="s">
        <v>291</v>
      </c>
      <c r="H47" t="s">
        <v>145</v>
      </c>
      <c r="I47" t="s">
        <v>145</v>
      </c>
      <c r="J47" s="11" t="s">
        <v>145</v>
      </c>
    </row>
    <row r="48" spans="1:10" x14ac:dyDescent="0.3">
      <c r="A48" t="s">
        <v>292</v>
      </c>
      <c r="B48" t="s">
        <v>145</v>
      </c>
      <c r="C48" t="s">
        <v>145</v>
      </c>
      <c r="D48" t="s">
        <v>145</v>
      </c>
      <c r="E48" t="s">
        <v>145</v>
      </c>
      <c r="F48" s="3" t="s">
        <v>145</v>
      </c>
      <c r="G48" t="s">
        <v>145</v>
      </c>
      <c r="H48" t="s">
        <v>145</v>
      </c>
      <c r="I48" t="s">
        <v>145</v>
      </c>
      <c r="J48" s="11" t="s">
        <v>145</v>
      </c>
    </row>
    <row r="49" spans="1:10" x14ac:dyDescent="0.3">
      <c r="A49" t="s">
        <v>871</v>
      </c>
      <c r="B49" t="s">
        <v>936</v>
      </c>
      <c r="C49" s="4" t="s">
        <v>938</v>
      </c>
      <c r="D49" t="s">
        <v>145</v>
      </c>
      <c r="E49" t="s">
        <v>872</v>
      </c>
      <c r="F49" s="3" t="s">
        <v>873</v>
      </c>
      <c r="G49" t="s">
        <v>874</v>
      </c>
      <c r="H49" t="s">
        <v>937</v>
      </c>
      <c r="I49" t="s">
        <v>145</v>
      </c>
      <c r="J49" s="11" t="s">
        <v>145</v>
      </c>
    </row>
    <row r="50" spans="1:10" x14ac:dyDescent="0.3">
      <c r="A50" t="s">
        <v>293</v>
      </c>
      <c r="B50" t="s">
        <v>145</v>
      </c>
      <c r="C50" t="s">
        <v>145</v>
      </c>
      <c r="D50" t="s">
        <v>145</v>
      </c>
      <c r="E50" t="s">
        <v>145</v>
      </c>
      <c r="F50" s="3" t="s">
        <v>145</v>
      </c>
      <c r="G50" t="s">
        <v>145</v>
      </c>
      <c r="H50" t="s">
        <v>145</v>
      </c>
      <c r="I50" t="s">
        <v>145</v>
      </c>
      <c r="J50" s="11" t="s">
        <v>145</v>
      </c>
    </row>
    <row r="51" spans="1:10" x14ac:dyDescent="0.3">
      <c r="A51" t="s">
        <v>294</v>
      </c>
      <c r="B51" t="s">
        <v>145</v>
      </c>
      <c r="C51" s="4" t="s">
        <v>295</v>
      </c>
      <c r="D51" t="s">
        <v>296</v>
      </c>
      <c r="E51" t="s">
        <v>296</v>
      </c>
      <c r="F51" s="3" t="s">
        <v>297</v>
      </c>
      <c r="G51" t="s">
        <v>298</v>
      </c>
      <c r="H51" t="s">
        <v>145</v>
      </c>
      <c r="I51" t="s">
        <v>145</v>
      </c>
      <c r="J51" s="11" t="s">
        <v>145</v>
      </c>
    </row>
    <row r="52" spans="1:10" x14ac:dyDescent="0.3">
      <c r="A52" t="s">
        <v>299</v>
      </c>
      <c r="B52" t="s">
        <v>145</v>
      </c>
      <c r="C52" t="s">
        <v>145</v>
      </c>
      <c r="D52" t="s">
        <v>145</v>
      </c>
      <c r="E52" t="s">
        <v>300</v>
      </c>
      <c r="F52" s="3" t="s">
        <v>301</v>
      </c>
      <c r="G52" t="s">
        <v>302</v>
      </c>
      <c r="H52" t="s">
        <v>145</v>
      </c>
      <c r="I52" t="s">
        <v>145</v>
      </c>
      <c r="J52" s="11" t="s">
        <v>145</v>
      </c>
    </row>
    <row r="53" spans="1:10" x14ac:dyDescent="0.3">
      <c r="A53" s="5" t="s">
        <v>303</v>
      </c>
      <c r="B53" s="5" t="s">
        <v>304</v>
      </c>
      <c r="C53" s="6" t="s">
        <v>305</v>
      </c>
      <c r="D53" s="5">
        <v>9060</v>
      </c>
      <c r="E53" s="5" t="s">
        <v>306</v>
      </c>
      <c r="F53" s="7" t="s">
        <v>307</v>
      </c>
      <c r="G53" s="5" t="s">
        <v>308</v>
      </c>
      <c r="H53" s="5" t="s">
        <v>309</v>
      </c>
      <c r="I53" t="s">
        <v>145</v>
      </c>
      <c r="J53" s="11" t="s">
        <v>145</v>
      </c>
    </row>
    <row r="54" spans="1:10" x14ac:dyDescent="0.3">
      <c r="A54" t="s">
        <v>310</v>
      </c>
      <c r="B54" t="s">
        <v>304</v>
      </c>
      <c r="C54" t="s">
        <v>305</v>
      </c>
      <c r="D54">
        <v>9060</v>
      </c>
      <c r="E54" t="s">
        <v>245</v>
      </c>
      <c r="F54" s="3" t="s">
        <v>145</v>
      </c>
      <c r="G54" t="s">
        <v>311</v>
      </c>
      <c r="H54" t="s">
        <v>309</v>
      </c>
      <c r="I54" t="s">
        <v>145</v>
      </c>
      <c r="J54" s="11" t="s">
        <v>145</v>
      </c>
    </row>
    <row r="55" spans="1:10" x14ac:dyDescent="0.3">
      <c r="A55" t="s">
        <v>312</v>
      </c>
      <c r="B55" t="s">
        <v>313</v>
      </c>
      <c r="C55" t="s">
        <v>145</v>
      </c>
      <c r="D55" t="s">
        <v>145</v>
      </c>
      <c r="E55" t="s">
        <v>314</v>
      </c>
      <c r="F55" s="3" t="s">
        <v>315</v>
      </c>
      <c r="G55" t="s">
        <v>316</v>
      </c>
      <c r="H55" t="s">
        <v>145</v>
      </c>
      <c r="I55" t="s">
        <v>145</v>
      </c>
      <c r="J55" s="11" t="s">
        <v>145</v>
      </c>
    </row>
    <row r="56" spans="1:10" x14ac:dyDescent="0.3">
      <c r="A56" t="s">
        <v>317</v>
      </c>
      <c r="B56" t="s">
        <v>145</v>
      </c>
      <c r="C56" t="s">
        <v>318</v>
      </c>
      <c r="D56" t="s">
        <v>145</v>
      </c>
      <c r="E56" t="s">
        <v>319</v>
      </c>
      <c r="F56" s="3" t="s">
        <v>145</v>
      </c>
      <c r="G56" t="s">
        <v>320</v>
      </c>
      <c r="H56" t="s">
        <v>145</v>
      </c>
      <c r="I56" t="s">
        <v>145</v>
      </c>
      <c r="J56" s="11" t="s">
        <v>145</v>
      </c>
    </row>
    <row r="57" spans="1:10" x14ac:dyDescent="0.3">
      <c r="A57" t="s">
        <v>321</v>
      </c>
      <c r="B57" t="s">
        <v>145</v>
      </c>
      <c r="C57" t="s">
        <v>318</v>
      </c>
      <c r="D57" t="s">
        <v>145</v>
      </c>
      <c r="E57" t="s">
        <v>322</v>
      </c>
      <c r="F57" s="3" t="s">
        <v>323</v>
      </c>
      <c r="G57" t="s">
        <v>324</v>
      </c>
      <c r="H57" t="s">
        <v>145</v>
      </c>
      <c r="I57" t="s">
        <v>145</v>
      </c>
      <c r="J57" s="11" t="s">
        <v>145</v>
      </c>
    </row>
    <row r="58" spans="1:10" x14ac:dyDescent="0.3">
      <c r="A58" t="s">
        <v>325</v>
      </c>
      <c r="B58" t="s">
        <v>145</v>
      </c>
      <c r="C58" t="s">
        <v>328</v>
      </c>
      <c r="D58" t="s">
        <v>145</v>
      </c>
      <c r="E58" t="s">
        <v>326</v>
      </c>
      <c r="F58" s="3" t="s">
        <v>327</v>
      </c>
      <c r="G58" t="s">
        <v>328</v>
      </c>
      <c r="H58" t="s">
        <v>145</v>
      </c>
      <c r="I58" t="s">
        <v>145</v>
      </c>
      <c r="J58" s="11" t="s">
        <v>145</v>
      </c>
    </row>
    <row r="59" spans="1:10" x14ac:dyDescent="0.3">
      <c r="A59" t="s">
        <v>329</v>
      </c>
      <c r="B59" t="s">
        <v>330</v>
      </c>
      <c r="C59" t="s">
        <v>331</v>
      </c>
      <c r="D59" t="s">
        <v>332</v>
      </c>
      <c r="E59" t="s">
        <v>333</v>
      </c>
      <c r="F59" s="3" t="s">
        <v>334</v>
      </c>
      <c r="G59" t="s">
        <v>335</v>
      </c>
      <c r="H59" t="s">
        <v>145</v>
      </c>
      <c r="I59" t="s">
        <v>145</v>
      </c>
      <c r="J59" s="11" t="s">
        <v>145</v>
      </c>
    </row>
    <row r="60" spans="1:10" x14ac:dyDescent="0.3">
      <c r="A60" t="s">
        <v>336</v>
      </c>
      <c r="B60" t="s">
        <v>337</v>
      </c>
      <c r="C60" t="s">
        <v>145</v>
      </c>
      <c r="D60" t="s">
        <v>338</v>
      </c>
      <c r="E60" t="s">
        <v>339</v>
      </c>
      <c r="F60" s="3" t="s">
        <v>145</v>
      </c>
      <c r="G60" t="s">
        <v>145</v>
      </c>
      <c r="H60" t="s">
        <v>340</v>
      </c>
      <c r="I60" t="s">
        <v>145</v>
      </c>
      <c r="J60" s="11" t="s">
        <v>145</v>
      </c>
    </row>
    <row r="61" spans="1:10" x14ac:dyDescent="0.3">
      <c r="A61" t="s">
        <v>341</v>
      </c>
      <c r="B61" t="s">
        <v>145</v>
      </c>
      <c r="C61" t="s">
        <v>145</v>
      </c>
      <c r="D61" t="s">
        <v>145</v>
      </c>
      <c r="E61" t="s">
        <v>145</v>
      </c>
      <c r="F61" s="3" t="s">
        <v>145</v>
      </c>
      <c r="G61" t="s">
        <v>145</v>
      </c>
      <c r="H61" t="s">
        <v>145</v>
      </c>
      <c r="I61" t="s">
        <v>145</v>
      </c>
      <c r="J61" s="11" t="s">
        <v>145</v>
      </c>
    </row>
    <row r="62" spans="1:10" x14ac:dyDescent="0.3">
      <c r="A62" t="s">
        <v>342</v>
      </c>
      <c r="B62" t="s">
        <v>343</v>
      </c>
      <c r="C62" s="4" t="s">
        <v>344</v>
      </c>
      <c r="D62" t="s">
        <v>145</v>
      </c>
      <c r="E62" t="s">
        <v>345</v>
      </c>
      <c r="F62" s="3" t="s">
        <v>145</v>
      </c>
      <c r="G62" t="s">
        <v>344</v>
      </c>
      <c r="H62" t="s">
        <v>145</v>
      </c>
      <c r="I62" t="s">
        <v>145</v>
      </c>
      <c r="J62" s="11" t="s">
        <v>145</v>
      </c>
    </row>
    <row r="63" spans="1:10" x14ac:dyDescent="0.3">
      <c r="A63" t="s">
        <v>346</v>
      </c>
      <c r="B63" t="s">
        <v>347</v>
      </c>
      <c r="C63" t="s">
        <v>145</v>
      </c>
      <c r="D63" t="s">
        <v>348</v>
      </c>
      <c r="E63" t="s">
        <v>349</v>
      </c>
      <c r="F63" s="3" t="s">
        <v>350</v>
      </c>
      <c r="G63" t="s">
        <v>145</v>
      </c>
      <c r="H63" t="s">
        <v>145</v>
      </c>
      <c r="I63" t="s">
        <v>145</v>
      </c>
      <c r="J63" s="11" t="s">
        <v>145</v>
      </c>
    </row>
    <row r="64" spans="1:10" x14ac:dyDescent="0.3">
      <c r="A64" t="s">
        <v>351</v>
      </c>
      <c r="B64" t="s">
        <v>352</v>
      </c>
      <c r="C64" t="s">
        <v>145</v>
      </c>
      <c r="D64" t="s">
        <v>353</v>
      </c>
      <c r="E64" t="s">
        <v>354</v>
      </c>
      <c r="F64" s="3" t="s">
        <v>355</v>
      </c>
      <c r="G64" t="s">
        <v>356</v>
      </c>
      <c r="H64" t="s">
        <v>145</v>
      </c>
      <c r="I64" t="s">
        <v>145</v>
      </c>
      <c r="J64" s="11" t="s">
        <v>145</v>
      </c>
    </row>
    <row r="65" spans="1:10" x14ac:dyDescent="0.3">
      <c r="A65" t="s">
        <v>357</v>
      </c>
      <c r="B65" t="s">
        <v>352</v>
      </c>
      <c r="C65" t="s">
        <v>145</v>
      </c>
      <c r="D65" t="s">
        <v>353</v>
      </c>
      <c r="E65" t="s">
        <v>358</v>
      </c>
      <c r="F65" s="3" t="s">
        <v>145</v>
      </c>
      <c r="G65" t="s">
        <v>359</v>
      </c>
      <c r="H65" t="s">
        <v>145</v>
      </c>
      <c r="I65" t="s">
        <v>145</v>
      </c>
      <c r="J65" s="11" t="s">
        <v>145</v>
      </c>
    </row>
    <row r="66" spans="1:10" x14ac:dyDescent="0.3">
      <c r="A66" t="s">
        <v>829</v>
      </c>
      <c r="B66" t="s">
        <v>830</v>
      </c>
      <c r="C66" t="s">
        <v>145</v>
      </c>
      <c r="D66" t="s">
        <v>831</v>
      </c>
      <c r="E66" t="s">
        <v>512</v>
      </c>
      <c r="F66" s="3" t="s">
        <v>832</v>
      </c>
      <c r="G66" t="s">
        <v>513</v>
      </c>
      <c r="H66" t="s">
        <v>240</v>
      </c>
      <c r="I66" t="s">
        <v>145</v>
      </c>
      <c r="J66" s="11" t="s">
        <v>145</v>
      </c>
    </row>
    <row r="67" spans="1:10" x14ac:dyDescent="0.3">
      <c r="A67" t="s">
        <v>360</v>
      </c>
      <c r="B67" t="s">
        <v>145</v>
      </c>
      <c r="C67" t="s">
        <v>145</v>
      </c>
      <c r="D67" t="s">
        <v>145</v>
      </c>
      <c r="E67" t="s">
        <v>145</v>
      </c>
      <c r="F67" s="3" t="s">
        <v>145</v>
      </c>
      <c r="G67" t="s">
        <v>145</v>
      </c>
      <c r="H67" t="s">
        <v>145</v>
      </c>
      <c r="I67" t="s">
        <v>145</v>
      </c>
      <c r="J67" s="11" t="s">
        <v>145</v>
      </c>
    </row>
    <row r="68" spans="1:10" x14ac:dyDescent="0.3">
      <c r="A68" t="s">
        <v>361</v>
      </c>
      <c r="B68" t="s">
        <v>362</v>
      </c>
      <c r="C68" t="s">
        <v>363</v>
      </c>
      <c r="D68" t="s">
        <v>145</v>
      </c>
      <c r="E68" t="s">
        <v>364</v>
      </c>
      <c r="F68" s="3" t="s">
        <v>145</v>
      </c>
      <c r="G68" t="s">
        <v>365</v>
      </c>
      <c r="H68" t="s">
        <v>366</v>
      </c>
      <c r="I68" t="s">
        <v>145</v>
      </c>
      <c r="J68" s="11" t="s">
        <v>145</v>
      </c>
    </row>
    <row r="69" spans="1:10" x14ac:dyDescent="0.3">
      <c r="A69" t="s">
        <v>367</v>
      </c>
      <c r="B69" t="s">
        <v>145</v>
      </c>
      <c r="C69" t="s">
        <v>145</v>
      </c>
      <c r="D69" t="s">
        <v>145</v>
      </c>
      <c r="E69" t="s">
        <v>368</v>
      </c>
      <c r="F69" s="3" t="s">
        <v>145</v>
      </c>
      <c r="G69" t="s">
        <v>369</v>
      </c>
      <c r="H69" t="s">
        <v>145</v>
      </c>
      <c r="I69" t="s">
        <v>145</v>
      </c>
      <c r="J69" s="11" t="s">
        <v>145</v>
      </c>
    </row>
    <row r="70" spans="1:10" x14ac:dyDescent="0.3">
      <c r="A70" t="s">
        <v>370</v>
      </c>
      <c r="B70" t="s">
        <v>145</v>
      </c>
      <c r="C70" t="s">
        <v>371</v>
      </c>
      <c r="D70" t="s">
        <v>145</v>
      </c>
      <c r="E70" t="s">
        <v>372</v>
      </c>
      <c r="F70" s="3" t="s">
        <v>373</v>
      </c>
      <c r="G70" t="s">
        <v>374</v>
      </c>
      <c r="H70" t="s">
        <v>145</v>
      </c>
      <c r="I70" t="s">
        <v>145</v>
      </c>
      <c r="J70" s="11" t="s">
        <v>145</v>
      </c>
    </row>
    <row r="71" spans="1:10" x14ac:dyDescent="0.3">
      <c r="A71" t="s">
        <v>375</v>
      </c>
      <c r="B71" t="s">
        <v>145</v>
      </c>
      <c r="C71" t="s">
        <v>376</v>
      </c>
      <c r="D71" t="s">
        <v>145</v>
      </c>
      <c r="E71" t="s">
        <v>377</v>
      </c>
      <c r="F71" s="3" t="s">
        <v>378</v>
      </c>
      <c r="G71" t="s">
        <v>376</v>
      </c>
      <c r="H71" t="s">
        <v>145</v>
      </c>
      <c r="I71" t="s">
        <v>145</v>
      </c>
      <c r="J71" s="11" t="s">
        <v>145</v>
      </c>
    </row>
    <row r="72" spans="1:10" x14ac:dyDescent="0.3">
      <c r="A72" t="s">
        <v>379</v>
      </c>
      <c r="B72" t="s">
        <v>380</v>
      </c>
      <c r="C72" t="s">
        <v>381</v>
      </c>
      <c r="D72" t="s">
        <v>145</v>
      </c>
      <c r="E72" t="s">
        <v>382</v>
      </c>
      <c r="F72" s="3" t="s">
        <v>145</v>
      </c>
      <c r="G72" t="s">
        <v>145</v>
      </c>
      <c r="H72" t="s">
        <v>145</v>
      </c>
      <c r="I72" t="s">
        <v>145</v>
      </c>
      <c r="J72" s="11" t="s">
        <v>145</v>
      </c>
    </row>
    <row r="73" spans="1:10" x14ac:dyDescent="0.3">
      <c r="A73" t="s">
        <v>383</v>
      </c>
      <c r="B73" t="s">
        <v>380</v>
      </c>
      <c r="C73" t="s">
        <v>381</v>
      </c>
      <c r="D73" t="s">
        <v>145</v>
      </c>
      <c r="E73" t="s">
        <v>384</v>
      </c>
      <c r="F73" s="3" t="s">
        <v>385</v>
      </c>
      <c r="G73" t="s">
        <v>386</v>
      </c>
      <c r="H73" t="s">
        <v>145</v>
      </c>
      <c r="I73" t="s">
        <v>145</v>
      </c>
      <c r="J73" s="11" t="s">
        <v>145</v>
      </c>
    </row>
    <row r="74" spans="1:10" x14ac:dyDescent="0.3">
      <c r="A74" t="s">
        <v>387</v>
      </c>
      <c r="B74" t="s">
        <v>145</v>
      </c>
      <c r="C74" t="s">
        <v>388</v>
      </c>
      <c r="D74" t="s">
        <v>145</v>
      </c>
      <c r="E74" t="s">
        <v>389</v>
      </c>
      <c r="F74" s="3" t="s">
        <v>390</v>
      </c>
      <c r="G74" t="s">
        <v>391</v>
      </c>
      <c r="H74" t="s">
        <v>145</v>
      </c>
      <c r="I74" t="s">
        <v>145</v>
      </c>
      <c r="J74" s="11" t="s">
        <v>145</v>
      </c>
    </row>
    <row r="75" spans="1:10" x14ac:dyDescent="0.3">
      <c r="A75" t="s">
        <v>392</v>
      </c>
      <c r="B75" t="s">
        <v>145</v>
      </c>
      <c r="C75" t="s">
        <v>393</v>
      </c>
      <c r="D75" t="s">
        <v>145</v>
      </c>
      <c r="E75" t="s">
        <v>394</v>
      </c>
      <c r="F75" s="3" t="s">
        <v>145</v>
      </c>
      <c r="G75" t="s">
        <v>393</v>
      </c>
      <c r="H75" t="s">
        <v>145</v>
      </c>
      <c r="I75" t="s">
        <v>145</v>
      </c>
      <c r="J75" s="11" t="s">
        <v>145</v>
      </c>
    </row>
    <row r="76" spans="1:10" x14ac:dyDescent="0.3">
      <c r="A76" t="s">
        <v>395</v>
      </c>
      <c r="B76" t="s">
        <v>396</v>
      </c>
      <c r="C76" t="s">
        <v>397</v>
      </c>
      <c r="D76" t="s">
        <v>398</v>
      </c>
      <c r="E76" t="s">
        <v>398</v>
      </c>
      <c r="F76" s="3" t="s">
        <v>399</v>
      </c>
      <c r="G76" t="s">
        <v>400</v>
      </c>
      <c r="H76" t="s">
        <v>145</v>
      </c>
      <c r="I76" t="s">
        <v>145</v>
      </c>
      <c r="J76" s="11" t="s">
        <v>145</v>
      </c>
    </row>
    <row r="77" spans="1:10" x14ac:dyDescent="0.3">
      <c r="A77" t="s">
        <v>401</v>
      </c>
      <c r="B77" t="s">
        <v>145</v>
      </c>
      <c r="C77" t="s">
        <v>402</v>
      </c>
      <c r="D77" t="s">
        <v>403</v>
      </c>
      <c r="E77" t="s">
        <v>403</v>
      </c>
      <c r="F77" s="3" t="s">
        <v>404</v>
      </c>
      <c r="G77" t="s">
        <v>402</v>
      </c>
      <c r="H77" t="s">
        <v>145</v>
      </c>
      <c r="I77" t="s">
        <v>145</v>
      </c>
      <c r="J77" s="11" t="s">
        <v>145</v>
      </c>
    </row>
    <row r="78" spans="1:10" x14ac:dyDescent="0.3">
      <c r="A78" t="s">
        <v>405</v>
      </c>
      <c r="B78" t="s">
        <v>145</v>
      </c>
      <c r="C78" t="s">
        <v>397</v>
      </c>
      <c r="D78" t="s">
        <v>145</v>
      </c>
      <c r="E78" t="s">
        <v>406</v>
      </c>
      <c r="F78" s="3" t="s">
        <v>145</v>
      </c>
      <c r="G78" t="s">
        <v>145</v>
      </c>
      <c r="H78" t="s">
        <v>145</v>
      </c>
      <c r="I78" t="s">
        <v>145</v>
      </c>
      <c r="J78" s="11" t="s">
        <v>145</v>
      </c>
    </row>
    <row r="79" spans="1:10" x14ac:dyDescent="0.3">
      <c r="A79" t="s">
        <v>407</v>
      </c>
      <c r="B79" t="s">
        <v>145</v>
      </c>
      <c r="C79" t="s">
        <v>145</v>
      </c>
      <c r="D79" t="s">
        <v>145</v>
      </c>
      <c r="E79" t="s">
        <v>145</v>
      </c>
      <c r="F79" s="3" t="s">
        <v>145</v>
      </c>
      <c r="G79" t="s">
        <v>145</v>
      </c>
      <c r="H79" t="s">
        <v>145</v>
      </c>
      <c r="I79" t="s">
        <v>145</v>
      </c>
      <c r="J79" s="11" t="s">
        <v>145</v>
      </c>
    </row>
    <row r="80" spans="1:10" x14ac:dyDescent="0.3">
      <c r="A80" t="s">
        <v>408</v>
      </c>
      <c r="B80" t="s">
        <v>145</v>
      </c>
      <c r="C80" t="s">
        <v>145</v>
      </c>
      <c r="D80" t="s">
        <v>145</v>
      </c>
      <c r="E80" t="s">
        <v>145</v>
      </c>
      <c r="F80" s="3" t="s">
        <v>145</v>
      </c>
      <c r="G80" t="s">
        <v>145</v>
      </c>
      <c r="H80" t="s">
        <v>145</v>
      </c>
      <c r="I80" t="s">
        <v>145</v>
      </c>
      <c r="J80" s="11" t="s">
        <v>145</v>
      </c>
    </row>
    <row r="81" spans="1:10" x14ac:dyDescent="0.3">
      <c r="A81" t="s">
        <v>409</v>
      </c>
      <c r="B81" t="s">
        <v>410</v>
      </c>
      <c r="C81" t="s">
        <v>411</v>
      </c>
      <c r="D81" t="s">
        <v>145</v>
      </c>
      <c r="E81" t="s">
        <v>412</v>
      </c>
      <c r="F81" s="3" t="s">
        <v>413</v>
      </c>
      <c r="G81" t="s">
        <v>414</v>
      </c>
      <c r="H81" t="s">
        <v>145</v>
      </c>
      <c r="I81" t="s">
        <v>145</v>
      </c>
      <c r="J81" s="11" t="s">
        <v>145</v>
      </c>
    </row>
    <row r="82" spans="1:10" x14ac:dyDescent="0.3">
      <c r="A82" t="s">
        <v>415</v>
      </c>
      <c r="B82" t="s">
        <v>416</v>
      </c>
      <c r="C82" t="s">
        <v>145</v>
      </c>
      <c r="D82" t="s">
        <v>417</v>
      </c>
      <c r="E82" t="s">
        <v>377</v>
      </c>
      <c r="F82" s="3" t="s">
        <v>378</v>
      </c>
      <c r="G82" t="s">
        <v>376</v>
      </c>
      <c r="H82" t="s">
        <v>145</v>
      </c>
      <c r="I82" t="s">
        <v>145</v>
      </c>
      <c r="J82" s="11" t="s">
        <v>145</v>
      </c>
    </row>
    <row r="83" spans="1:10" x14ac:dyDescent="0.3">
      <c r="A83" t="s">
        <v>418</v>
      </c>
      <c r="B83" t="s">
        <v>145</v>
      </c>
      <c r="C83" t="s">
        <v>419</v>
      </c>
      <c r="D83" t="s">
        <v>145</v>
      </c>
      <c r="E83" t="s">
        <v>420</v>
      </c>
      <c r="F83" s="3" t="s">
        <v>421</v>
      </c>
      <c r="G83" t="s">
        <v>419</v>
      </c>
      <c r="H83" t="s">
        <v>145</v>
      </c>
      <c r="I83" t="s">
        <v>145</v>
      </c>
      <c r="J83" s="11" t="s">
        <v>145</v>
      </c>
    </row>
    <row r="84" spans="1:10" x14ac:dyDescent="0.3">
      <c r="A84" t="s">
        <v>422</v>
      </c>
      <c r="B84" t="s">
        <v>145</v>
      </c>
      <c r="C84" t="s">
        <v>912</v>
      </c>
      <c r="D84" t="s">
        <v>145</v>
      </c>
      <c r="E84" t="s">
        <v>216</v>
      </c>
      <c r="F84" s="3" t="s">
        <v>423</v>
      </c>
      <c r="G84" t="s">
        <v>424</v>
      </c>
      <c r="H84" t="s">
        <v>911</v>
      </c>
      <c r="I84" t="s">
        <v>145</v>
      </c>
      <c r="J84" s="11" t="s">
        <v>145</v>
      </c>
    </row>
    <row r="85" spans="1:10" x14ac:dyDescent="0.3">
      <c r="A85" t="s">
        <v>425</v>
      </c>
      <c r="B85" t="s">
        <v>145</v>
      </c>
      <c r="C85" t="s">
        <v>145</v>
      </c>
      <c r="D85" t="s">
        <v>145</v>
      </c>
      <c r="E85" t="s">
        <v>145</v>
      </c>
      <c r="F85" s="3" t="s">
        <v>145</v>
      </c>
      <c r="G85" t="s">
        <v>145</v>
      </c>
      <c r="H85" t="s">
        <v>145</v>
      </c>
      <c r="I85" t="s">
        <v>145</v>
      </c>
      <c r="J85" s="11" t="s">
        <v>145</v>
      </c>
    </row>
    <row r="86" spans="1:10" x14ac:dyDescent="0.3">
      <c r="A86" t="s">
        <v>426</v>
      </c>
      <c r="B86" t="s">
        <v>427</v>
      </c>
      <c r="C86" t="s">
        <v>145</v>
      </c>
      <c r="D86">
        <v>2502</v>
      </c>
      <c r="E86" t="s">
        <v>428</v>
      </c>
      <c r="F86" s="3" t="s">
        <v>429</v>
      </c>
      <c r="G86" t="s">
        <v>430</v>
      </c>
      <c r="H86" t="s">
        <v>431</v>
      </c>
      <c r="I86" t="s">
        <v>145</v>
      </c>
      <c r="J86" s="11" t="s">
        <v>145</v>
      </c>
    </row>
    <row r="87" spans="1:10" x14ac:dyDescent="0.3">
      <c r="A87" t="s">
        <v>432</v>
      </c>
      <c r="B87" t="s">
        <v>433</v>
      </c>
      <c r="C87" t="s">
        <v>434</v>
      </c>
      <c r="D87">
        <v>3502</v>
      </c>
      <c r="E87" t="s">
        <v>435</v>
      </c>
      <c r="F87" s="3" t="s">
        <v>145</v>
      </c>
      <c r="G87" t="s">
        <v>436</v>
      </c>
      <c r="H87" t="s">
        <v>145</v>
      </c>
      <c r="I87" t="s">
        <v>145</v>
      </c>
      <c r="J87" s="11" t="s">
        <v>145</v>
      </c>
    </row>
    <row r="88" spans="1:10" x14ac:dyDescent="0.3">
      <c r="A88" t="s">
        <v>437</v>
      </c>
      <c r="B88" t="s">
        <v>145</v>
      </c>
      <c r="C88" t="s">
        <v>438</v>
      </c>
      <c r="D88" t="s">
        <v>145</v>
      </c>
      <c r="E88" t="s">
        <v>439</v>
      </c>
      <c r="F88" s="3" t="s">
        <v>440</v>
      </c>
      <c r="G88" t="s">
        <v>438</v>
      </c>
      <c r="H88" t="s">
        <v>145</v>
      </c>
      <c r="I88" t="s">
        <v>145</v>
      </c>
      <c r="J88" s="11" t="s">
        <v>145</v>
      </c>
    </row>
    <row r="89" spans="1:10" x14ac:dyDescent="0.3">
      <c r="A89" t="s">
        <v>441</v>
      </c>
      <c r="B89" t="s">
        <v>145</v>
      </c>
      <c r="C89" t="s">
        <v>145</v>
      </c>
      <c r="D89" t="s">
        <v>145</v>
      </c>
      <c r="E89" t="s">
        <v>442</v>
      </c>
      <c r="F89" s="3" t="s">
        <v>145</v>
      </c>
      <c r="G89" t="s">
        <v>443</v>
      </c>
      <c r="H89" t="s">
        <v>145</v>
      </c>
      <c r="I89" t="s">
        <v>145</v>
      </c>
      <c r="J89" s="11" t="s">
        <v>145</v>
      </c>
    </row>
    <row r="90" spans="1:10" x14ac:dyDescent="0.3">
      <c r="A90" t="s">
        <v>965</v>
      </c>
      <c r="B90" t="s">
        <v>145</v>
      </c>
      <c r="C90" t="s">
        <v>145</v>
      </c>
      <c r="D90" t="s">
        <v>169</v>
      </c>
      <c r="E90" t="s">
        <v>966</v>
      </c>
      <c r="F90" s="3" t="s">
        <v>968</v>
      </c>
      <c r="G90" t="s">
        <v>967</v>
      </c>
      <c r="H90" t="s">
        <v>145</v>
      </c>
      <c r="I90" t="s">
        <v>145</v>
      </c>
      <c r="J90" s="11" t="s">
        <v>145</v>
      </c>
    </row>
    <row r="91" spans="1:10" x14ac:dyDescent="0.3">
      <c r="A91" t="s">
        <v>444</v>
      </c>
      <c r="B91" t="s">
        <v>145</v>
      </c>
      <c r="C91" t="s">
        <v>145</v>
      </c>
      <c r="D91" t="s">
        <v>145</v>
      </c>
      <c r="E91" t="s">
        <v>145</v>
      </c>
      <c r="F91" s="3" t="s">
        <v>145</v>
      </c>
      <c r="G91" t="s">
        <v>145</v>
      </c>
      <c r="H91" t="s">
        <v>145</v>
      </c>
      <c r="I91" t="s">
        <v>145</v>
      </c>
      <c r="J91" s="11" t="s">
        <v>145</v>
      </c>
    </row>
    <row r="92" spans="1:10" x14ac:dyDescent="0.3">
      <c r="A92" t="s">
        <v>894</v>
      </c>
      <c r="B92" t="s">
        <v>145</v>
      </c>
      <c r="C92" t="s">
        <v>145</v>
      </c>
      <c r="D92" t="s">
        <v>169</v>
      </c>
      <c r="E92" t="s">
        <v>895</v>
      </c>
      <c r="F92" s="3" t="s">
        <v>896</v>
      </c>
      <c r="G92" s="4" t="s">
        <v>897</v>
      </c>
      <c r="H92" t="s">
        <v>145</v>
      </c>
      <c r="I92" t="s">
        <v>145</v>
      </c>
      <c r="J92" s="11" t="s">
        <v>145</v>
      </c>
    </row>
    <row r="93" spans="1:10" x14ac:dyDescent="0.3">
      <c r="A93" t="s">
        <v>879</v>
      </c>
      <c r="B93" t="s">
        <v>145</v>
      </c>
      <c r="C93" t="s">
        <v>880</v>
      </c>
      <c r="D93" t="s">
        <v>145</v>
      </c>
      <c r="E93" t="s">
        <v>881</v>
      </c>
      <c r="F93" s="3" t="s">
        <v>882</v>
      </c>
      <c r="G93" t="s">
        <v>880</v>
      </c>
      <c r="H93" t="s">
        <v>145</v>
      </c>
      <c r="I93" t="s">
        <v>145</v>
      </c>
      <c r="J93" s="11" t="s">
        <v>145</v>
      </c>
    </row>
    <row r="94" spans="1:10" x14ac:dyDescent="0.3">
      <c r="A94" t="s">
        <v>445</v>
      </c>
      <c r="B94" t="s">
        <v>446</v>
      </c>
      <c r="C94" t="s">
        <v>145</v>
      </c>
      <c r="D94" t="s">
        <v>145</v>
      </c>
      <c r="E94" t="s">
        <v>145</v>
      </c>
      <c r="F94" s="3" t="s">
        <v>145</v>
      </c>
      <c r="G94" t="s">
        <v>145</v>
      </c>
      <c r="H94" t="s">
        <v>145</v>
      </c>
      <c r="I94" t="s">
        <v>145</v>
      </c>
      <c r="J94" s="11" t="s">
        <v>145</v>
      </c>
    </row>
    <row r="95" spans="1:10" x14ac:dyDescent="0.3">
      <c r="A95" t="s">
        <v>447</v>
      </c>
      <c r="B95" t="s">
        <v>448</v>
      </c>
      <c r="C95" t="s">
        <v>145</v>
      </c>
      <c r="D95" t="s">
        <v>145</v>
      </c>
      <c r="E95" t="s">
        <v>449</v>
      </c>
      <c r="F95" s="3" t="s">
        <v>145</v>
      </c>
      <c r="G95" t="s">
        <v>450</v>
      </c>
      <c r="H95" t="s">
        <v>145</v>
      </c>
      <c r="I95" t="s">
        <v>145</v>
      </c>
      <c r="J95" s="11" t="s">
        <v>145</v>
      </c>
    </row>
    <row r="96" spans="1:10" x14ac:dyDescent="0.3">
      <c r="A96" t="s">
        <v>451</v>
      </c>
      <c r="B96" t="s">
        <v>268</v>
      </c>
      <c r="C96" t="s">
        <v>145</v>
      </c>
      <c r="D96" t="s">
        <v>452</v>
      </c>
      <c r="E96" t="s">
        <v>453</v>
      </c>
      <c r="F96" s="3" t="s">
        <v>454</v>
      </c>
      <c r="G96" t="s">
        <v>455</v>
      </c>
      <c r="H96" t="s">
        <v>145</v>
      </c>
      <c r="I96" t="s">
        <v>145</v>
      </c>
      <c r="J96" s="11" t="s">
        <v>145</v>
      </c>
    </row>
    <row r="97" spans="1:10" x14ac:dyDescent="0.3">
      <c r="A97" t="s">
        <v>833</v>
      </c>
      <c r="B97" t="s">
        <v>834</v>
      </c>
      <c r="C97" t="s">
        <v>145</v>
      </c>
      <c r="D97" t="s">
        <v>913</v>
      </c>
      <c r="E97" t="s">
        <v>835</v>
      </c>
      <c r="F97" s="3" t="s">
        <v>836</v>
      </c>
      <c r="G97" s="4" t="s">
        <v>837</v>
      </c>
      <c r="H97" t="s">
        <v>145</v>
      </c>
      <c r="I97" t="s">
        <v>145</v>
      </c>
      <c r="J97" s="11" t="s">
        <v>145</v>
      </c>
    </row>
    <row r="98" spans="1:10" x14ac:dyDescent="0.3">
      <c r="A98" t="s">
        <v>456</v>
      </c>
      <c r="B98" t="s">
        <v>145</v>
      </c>
      <c r="C98" t="s">
        <v>145</v>
      </c>
      <c r="D98" t="s">
        <v>145</v>
      </c>
      <c r="E98" t="s">
        <v>457</v>
      </c>
      <c r="F98" s="3" t="s">
        <v>458</v>
      </c>
      <c r="G98" t="s">
        <v>459</v>
      </c>
      <c r="H98" t="s">
        <v>145</v>
      </c>
      <c r="I98" t="s">
        <v>145</v>
      </c>
      <c r="J98" s="11" t="s">
        <v>145</v>
      </c>
    </row>
    <row r="99" spans="1:10" x14ac:dyDescent="0.3">
      <c r="A99" t="s">
        <v>460</v>
      </c>
      <c r="B99" t="s">
        <v>145</v>
      </c>
      <c r="C99" t="s">
        <v>145</v>
      </c>
      <c r="D99" t="s">
        <v>145</v>
      </c>
      <c r="E99" t="s">
        <v>145</v>
      </c>
      <c r="F99" s="3" t="s">
        <v>145</v>
      </c>
      <c r="G99" t="s">
        <v>145</v>
      </c>
      <c r="H99" t="s">
        <v>145</v>
      </c>
      <c r="I99" t="s">
        <v>145</v>
      </c>
      <c r="J99" s="11" t="s">
        <v>145</v>
      </c>
    </row>
    <row r="100" spans="1:10" x14ac:dyDescent="0.3">
      <c r="A100" t="s">
        <v>461</v>
      </c>
      <c r="B100" t="s">
        <v>462</v>
      </c>
      <c r="C100" t="s">
        <v>463</v>
      </c>
      <c r="D100">
        <v>207</v>
      </c>
      <c r="E100" t="s">
        <v>464</v>
      </c>
      <c r="F100" s="3" t="s">
        <v>465</v>
      </c>
      <c r="G100" t="s">
        <v>466</v>
      </c>
      <c r="H100">
        <v>5565661815</v>
      </c>
      <c r="I100" t="s">
        <v>851</v>
      </c>
      <c r="J100" s="11" t="s">
        <v>145</v>
      </c>
    </row>
    <row r="101" spans="1:10" x14ac:dyDescent="0.3">
      <c r="A101" t="s">
        <v>467</v>
      </c>
      <c r="B101" t="s">
        <v>462</v>
      </c>
      <c r="C101" t="s">
        <v>463</v>
      </c>
      <c r="D101">
        <v>115</v>
      </c>
      <c r="E101" t="s">
        <v>468</v>
      </c>
      <c r="F101" s="3" t="s">
        <v>145</v>
      </c>
      <c r="G101" t="s">
        <v>469</v>
      </c>
      <c r="H101" t="s">
        <v>145</v>
      </c>
      <c r="I101" t="s">
        <v>145</v>
      </c>
      <c r="J101" s="11" t="s">
        <v>145</v>
      </c>
    </row>
    <row r="102" spans="1:10" x14ac:dyDescent="0.3">
      <c r="A102" t="s">
        <v>470</v>
      </c>
      <c r="B102" t="s">
        <v>462</v>
      </c>
      <c r="C102" t="s">
        <v>463</v>
      </c>
      <c r="D102">
        <v>115</v>
      </c>
      <c r="E102" t="s">
        <v>471</v>
      </c>
      <c r="F102" s="3" t="s">
        <v>472</v>
      </c>
      <c r="G102" t="s">
        <v>473</v>
      </c>
      <c r="H102" t="s">
        <v>145</v>
      </c>
      <c r="I102" t="s">
        <v>145</v>
      </c>
      <c r="J102" s="11" t="s">
        <v>145</v>
      </c>
    </row>
    <row r="103" spans="1:10" x14ac:dyDescent="0.3">
      <c r="A103" t="s">
        <v>474</v>
      </c>
      <c r="B103" t="s">
        <v>462</v>
      </c>
      <c r="C103" t="s">
        <v>463</v>
      </c>
      <c r="D103">
        <v>115</v>
      </c>
      <c r="E103" t="s">
        <v>475</v>
      </c>
      <c r="F103" s="3" t="s">
        <v>476</v>
      </c>
      <c r="G103" t="s">
        <v>477</v>
      </c>
      <c r="H103" t="s">
        <v>145</v>
      </c>
      <c r="I103" t="s">
        <v>145</v>
      </c>
      <c r="J103" s="11" t="s">
        <v>145</v>
      </c>
    </row>
    <row r="104" spans="1:10" x14ac:dyDescent="0.3">
      <c r="A104" t="s">
        <v>478</v>
      </c>
      <c r="B104" t="s">
        <v>268</v>
      </c>
      <c r="C104" t="s">
        <v>145</v>
      </c>
      <c r="D104" t="s">
        <v>479</v>
      </c>
      <c r="E104" t="s">
        <v>480</v>
      </c>
      <c r="F104" s="3" t="s">
        <v>481</v>
      </c>
      <c r="G104" t="s">
        <v>482</v>
      </c>
      <c r="H104" t="s">
        <v>145</v>
      </c>
      <c r="I104" t="s">
        <v>145</v>
      </c>
      <c r="J104" s="11" t="s">
        <v>145</v>
      </c>
    </row>
    <row r="105" spans="1:10" x14ac:dyDescent="0.3">
      <c r="A105" t="s">
        <v>483</v>
      </c>
      <c r="B105" t="s">
        <v>235</v>
      </c>
      <c r="C105" t="s">
        <v>145</v>
      </c>
      <c r="D105" t="s">
        <v>484</v>
      </c>
      <c r="E105" t="s">
        <v>485</v>
      </c>
      <c r="F105" s="3" t="s">
        <v>486</v>
      </c>
      <c r="G105" t="s">
        <v>487</v>
      </c>
      <c r="H105" t="s">
        <v>145</v>
      </c>
      <c r="I105" t="s">
        <v>145</v>
      </c>
      <c r="J105" s="11" t="s">
        <v>145</v>
      </c>
    </row>
    <row r="106" spans="1:10" x14ac:dyDescent="0.3">
      <c r="A106" t="s">
        <v>488</v>
      </c>
      <c r="B106" t="s">
        <v>268</v>
      </c>
      <c r="C106" t="s">
        <v>145</v>
      </c>
      <c r="D106" t="s">
        <v>479</v>
      </c>
      <c r="E106" t="s">
        <v>480</v>
      </c>
      <c r="F106" s="3" t="s">
        <v>489</v>
      </c>
      <c r="G106" t="s">
        <v>482</v>
      </c>
      <c r="H106" t="s">
        <v>145</v>
      </c>
      <c r="I106" t="s">
        <v>145</v>
      </c>
      <c r="J106" s="11" t="s">
        <v>145</v>
      </c>
    </row>
    <row r="107" spans="1:10" x14ac:dyDescent="0.3">
      <c r="A107" t="s">
        <v>490</v>
      </c>
      <c r="B107" t="s">
        <v>491</v>
      </c>
      <c r="C107" t="s">
        <v>492</v>
      </c>
      <c r="D107" t="s">
        <v>145</v>
      </c>
      <c r="E107" t="s">
        <v>493</v>
      </c>
      <c r="F107" s="3" t="s">
        <v>145</v>
      </c>
      <c r="G107" t="s">
        <v>145</v>
      </c>
      <c r="H107" t="s">
        <v>494</v>
      </c>
      <c r="I107" t="s">
        <v>145</v>
      </c>
      <c r="J107" s="11" t="s">
        <v>145</v>
      </c>
    </row>
    <row r="108" spans="1:10" x14ac:dyDescent="0.3">
      <c r="A108" t="s">
        <v>495</v>
      </c>
      <c r="B108" t="s">
        <v>145</v>
      </c>
      <c r="C108" t="s">
        <v>145</v>
      </c>
      <c r="D108" t="s">
        <v>145</v>
      </c>
      <c r="E108" t="s">
        <v>145</v>
      </c>
      <c r="F108" s="3" t="s">
        <v>145</v>
      </c>
      <c r="G108" t="s">
        <v>145</v>
      </c>
      <c r="H108" t="s">
        <v>145</v>
      </c>
      <c r="I108" t="s">
        <v>145</v>
      </c>
      <c r="J108" s="11" t="s">
        <v>145</v>
      </c>
    </row>
    <row r="109" spans="1:10" x14ac:dyDescent="0.3">
      <c r="A109" t="s">
        <v>197</v>
      </c>
      <c r="B109" t="s">
        <v>145</v>
      </c>
      <c r="C109" t="s">
        <v>145</v>
      </c>
      <c r="D109" t="s">
        <v>145</v>
      </c>
      <c r="E109" t="s">
        <v>197</v>
      </c>
      <c r="F109" s="3" t="s">
        <v>496</v>
      </c>
      <c r="G109" t="s">
        <v>199</v>
      </c>
      <c r="H109" t="s">
        <v>145</v>
      </c>
      <c r="I109" t="s">
        <v>145</v>
      </c>
      <c r="J109" s="11" t="s">
        <v>145</v>
      </c>
    </row>
    <row r="110" spans="1:10" x14ac:dyDescent="0.3">
      <c r="A110" t="s">
        <v>497</v>
      </c>
      <c r="B110" t="s">
        <v>145</v>
      </c>
      <c r="C110" t="s">
        <v>498</v>
      </c>
      <c r="D110" t="s">
        <v>145</v>
      </c>
      <c r="E110" t="s">
        <v>499</v>
      </c>
      <c r="F110" s="3" t="s">
        <v>500</v>
      </c>
      <c r="G110" t="s">
        <v>498</v>
      </c>
      <c r="H110" t="s">
        <v>145</v>
      </c>
      <c r="I110" t="s">
        <v>145</v>
      </c>
      <c r="J110" s="11" t="s">
        <v>145</v>
      </c>
    </row>
    <row r="111" spans="1:10" x14ac:dyDescent="0.3">
      <c r="A111" t="s">
        <v>501</v>
      </c>
      <c r="B111" t="s">
        <v>145</v>
      </c>
      <c r="C111" t="s">
        <v>502</v>
      </c>
      <c r="D111" t="s">
        <v>145</v>
      </c>
      <c r="E111" t="s">
        <v>503</v>
      </c>
      <c r="F111" s="3" t="s">
        <v>504</v>
      </c>
      <c r="G111" t="s">
        <v>502</v>
      </c>
      <c r="H111" t="s">
        <v>145</v>
      </c>
      <c r="I111" t="s">
        <v>145</v>
      </c>
      <c r="J111" s="11" t="s">
        <v>145</v>
      </c>
    </row>
    <row r="112" spans="1:10" x14ac:dyDescent="0.3">
      <c r="A112" t="s">
        <v>505</v>
      </c>
      <c r="B112" t="s">
        <v>145</v>
      </c>
      <c r="C112" t="s">
        <v>506</v>
      </c>
      <c r="D112" t="s">
        <v>145</v>
      </c>
      <c r="E112" t="s">
        <v>507</v>
      </c>
      <c r="F112" s="3" t="s">
        <v>145</v>
      </c>
      <c r="G112" t="s">
        <v>508</v>
      </c>
      <c r="H112" t="s">
        <v>145</v>
      </c>
      <c r="I112" t="s">
        <v>145</v>
      </c>
      <c r="J112" s="11" t="s">
        <v>145</v>
      </c>
    </row>
    <row r="113" spans="1:10" x14ac:dyDescent="0.3">
      <c r="A113" t="s">
        <v>509</v>
      </c>
      <c r="B113" t="s">
        <v>510</v>
      </c>
      <c r="C113" t="s">
        <v>145</v>
      </c>
      <c r="D113" t="s">
        <v>511</v>
      </c>
      <c r="E113" t="s">
        <v>512</v>
      </c>
      <c r="F113" s="3" t="s">
        <v>145</v>
      </c>
      <c r="G113" t="s">
        <v>513</v>
      </c>
      <c r="H113" t="s">
        <v>240</v>
      </c>
      <c r="I113" t="s">
        <v>145</v>
      </c>
      <c r="J113" s="11" t="s">
        <v>145</v>
      </c>
    </row>
    <row r="114" spans="1:10" x14ac:dyDescent="0.3">
      <c r="A114" t="s">
        <v>514</v>
      </c>
      <c r="B114" t="s">
        <v>510</v>
      </c>
      <c r="C114" t="s">
        <v>145</v>
      </c>
      <c r="D114" t="s">
        <v>511</v>
      </c>
      <c r="E114" t="s">
        <v>515</v>
      </c>
      <c r="F114" s="3" t="s">
        <v>516</v>
      </c>
      <c r="G114" t="s">
        <v>517</v>
      </c>
      <c r="H114" t="s">
        <v>240</v>
      </c>
      <c r="I114" t="s">
        <v>145</v>
      </c>
      <c r="J114" s="11" t="s">
        <v>145</v>
      </c>
    </row>
    <row r="115" spans="1:10" x14ac:dyDescent="0.3">
      <c r="A115" t="s">
        <v>518</v>
      </c>
      <c r="B115" t="s">
        <v>352</v>
      </c>
      <c r="C115" t="s">
        <v>145</v>
      </c>
      <c r="D115" t="s">
        <v>479</v>
      </c>
      <c r="E115" t="s">
        <v>519</v>
      </c>
      <c r="F115" s="3" t="s">
        <v>145</v>
      </c>
      <c r="G115" t="s">
        <v>520</v>
      </c>
      <c r="H115" t="s">
        <v>145</v>
      </c>
      <c r="I115" t="s">
        <v>145</v>
      </c>
      <c r="J115" s="11" t="s">
        <v>145</v>
      </c>
    </row>
    <row r="116" spans="1:10" x14ac:dyDescent="0.3">
      <c r="A116" t="s">
        <v>521</v>
      </c>
      <c r="B116" t="s">
        <v>352</v>
      </c>
      <c r="C116" t="s">
        <v>145</v>
      </c>
      <c r="D116" t="s">
        <v>479</v>
      </c>
      <c r="E116" t="s">
        <v>519</v>
      </c>
      <c r="F116" s="3" t="s">
        <v>145</v>
      </c>
      <c r="G116" t="s">
        <v>520</v>
      </c>
      <c r="H116" t="s">
        <v>145</v>
      </c>
      <c r="I116" t="s">
        <v>145</v>
      </c>
      <c r="J116" s="11" t="s">
        <v>145</v>
      </c>
    </row>
    <row r="117" spans="1:10" x14ac:dyDescent="0.3">
      <c r="A117" t="s">
        <v>522</v>
      </c>
      <c r="B117" t="s">
        <v>352</v>
      </c>
      <c r="C117" t="s">
        <v>145</v>
      </c>
      <c r="D117" t="s">
        <v>479</v>
      </c>
      <c r="E117" t="s">
        <v>519</v>
      </c>
      <c r="F117" s="3" t="s">
        <v>145</v>
      </c>
      <c r="G117" t="s">
        <v>520</v>
      </c>
      <c r="H117" t="s">
        <v>145</v>
      </c>
      <c r="I117" t="s">
        <v>145</v>
      </c>
      <c r="J117" s="11" t="s">
        <v>145</v>
      </c>
    </row>
    <row r="118" spans="1:10" x14ac:dyDescent="0.3">
      <c r="A118" t="s">
        <v>523</v>
      </c>
      <c r="B118" t="s">
        <v>524</v>
      </c>
      <c r="C118" t="s">
        <v>525</v>
      </c>
      <c r="D118">
        <v>90096</v>
      </c>
      <c r="E118" t="s">
        <v>526</v>
      </c>
      <c r="F118" s="3" t="s">
        <v>527</v>
      </c>
      <c r="G118" t="s">
        <v>528</v>
      </c>
      <c r="H118" t="s">
        <v>529</v>
      </c>
      <c r="I118" t="s">
        <v>145</v>
      </c>
      <c r="J118" s="11" t="s">
        <v>145</v>
      </c>
    </row>
    <row r="119" spans="1:10" x14ac:dyDescent="0.3">
      <c r="A119" t="s">
        <v>530</v>
      </c>
      <c r="B119" t="s">
        <v>531</v>
      </c>
      <c r="C119" t="s">
        <v>525</v>
      </c>
      <c r="D119">
        <v>90162</v>
      </c>
      <c r="E119" t="s">
        <v>532</v>
      </c>
      <c r="F119" s="3" t="s">
        <v>533</v>
      </c>
      <c r="G119" t="s">
        <v>534</v>
      </c>
      <c r="H119" t="s">
        <v>529</v>
      </c>
      <c r="I119" t="s">
        <v>145</v>
      </c>
      <c r="J119" s="11" t="s">
        <v>145</v>
      </c>
    </row>
    <row r="120" spans="1:10" x14ac:dyDescent="0.3">
      <c r="A120" t="s">
        <v>535</v>
      </c>
      <c r="B120" t="s">
        <v>524</v>
      </c>
      <c r="C120" t="s">
        <v>525</v>
      </c>
      <c r="D120">
        <v>90096</v>
      </c>
      <c r="E120" t="s">
        <v>536</v>
      </c>
      <c r="F120" s="3" t="s">
        <v>537</v>
      </c>
      <c r="G120" t="s">
        <v>538</v>
      </c>
      <c r="H120" t="s">
        <v>529</v>
      </c>
      <c r="I120" t="s">
        <v>145</v>
      </c>
      <c r="J120" s="11" t="s">
        <v>145</v>
      </c>
    </row>
    <row r="121" spans="1:10" x14ac:dyDescent="0.3">
      <c r="A121" t="s">
        <v>539</v>
      </c>
      <c r="B121" t="s">
        <v>524</v>
      </c>
      <c r="C121" t="s">
        <v>914</v>
      </c>
      <c r="D121">
        <v>90096</v>
      </c>
      <c r="E121" t="s">
        <v>541</v>
      </c>
      <c r="F121" s="3" t="s">
        <v>542</v>
      </c>
      <c r="G121" t="s">
        <v>540</v>
      </c>
      <c r="H121" t="s">
        <v>145</v>
      </c>
      <c r="I121" t="s">
        <v>915</v>
      </c>
      <c r="J121" s="11">
        <v>7365560354301</v>
      </c>
    </row>
    <row r="122" spans="1:10" x14ac:dyDescent="0.3">
      <c r="A122" t="s">
        <v>543</v>
      </c>
      <c r="B122" t="s">
        <v>544</v>
      </c>
      <c r="C122" t="s">
        <v>525</v>
      </c>
      <c r="D122">
        <v>425</v>
      </c>
      <c r="E122" t="s">
        <v>545</v>
      </c>
      <c r="F122" s="3" t="s">
        <v>546</v>
      </c>
      <c r="G122" t="s">
        <v>547</v>
      </c>
      <c r="H122" t="s">
        <v>145</v>
      </c>
      <c r="I122" t="s">
        <v>145</v>
      </c>
      <c r="J122" s="11" t="s">
        <v>145</v>
      </c>
    </row>
    <row r="123" spans="1:10" x14ac:dyDescent="0.3">
      <c r="A123" t="s">
        <v>548</v>
      </c>
      <c r="B123" t="s">
        <v>549</v>
      </c>
      <c r="C123" t="s">
        <v>550</v>
      </c>
      <c r="D123" t="s">
        <v>145</v>
      </c>
      <c r="E123" t="s">
        <v>551</v>
      </c>
      <c r="F123" s="3" t="s">
        <v>145</v>
      </c>
      <c r="G123" t="s">
        <v>552</v>
      </c>
      <c r="H123" t="s">
        <v>145</v>
      </c>
      <c r="I123" t="s">
        <v>145</v>
      </c>
      <c r="J123" s="11" t="s">
        <v>145</v>
      </c>
    </row>
    <row r="124" spans="1:10" x14ac:dyDescent="0.3">
      <c r="A124" t="s">
        <v>499</v>
      </c>
      <c r="B124" t="s">
        <v>145</v>
      </c>
      <c r="C124" t="s">
        <v>498</v>
      </c>
      <c r="D124" t="s">
        <v>145</v>
      </c>
      <c r="E124" t="s">
        <v>499</v>
      </c>
      <c r="F124" s="3" t="s">
        <v>500</v>
      </c>
      <c r="G124" t="s">
        <v>498</v>
      </c>
      <c r="H124" t="s">
        <v>145</v>
      </c>
      <c r="I124" t="s">
        <v>145</v>
      </c>
      <c r="J124" s="11" t="s">
        <v>145</v>
      </c>
    </row>
    <row r="125" spans="1:10" x14ac:dyDescent="0.3">
      <c r="A125" t="s">
        <v>553</v>
      </c>
      <c r="B125" t="s">
        <v>145</v>
      </c>
      <c r="C125" t="s">
        <v>145</v>
      </c>
      <c r="D125" t="s">
        <v>145</v>
      </c>
      <c r="E125" t="s">
        <v>145</v>
      </c>
      <c r="F125" s="3" t="s">
        <v>554</v>
      </c>
      <c r="G125" t="s">
        <v>145</v>
      </c>
      <c r="H125" t="s">
        <v>145</v>
      </c>
      <c r="I125" t="s">
        <v>145</v>
      </c>
      <c r="J125" s="11" t="s">
        <v>145</v>
      </c>
    </row>
    <row r="126" spans="1:10" x14ac:dyDescent="0.3">
      <c r="A126" t="s">
        <v>555</v>
      </c>
      <c r="B126" t="s">
        <v>556</v>
      </c>
      <c r="C126" t="s">
        <v>557</v>
      </c>
      <c r="D126" t="s">
        <v>558</v>
      </c>
      <c r="E126" t="s">
        <v>558</v>
      </c>
      <c r="F126" s="3" t="s">
        <v>559</v>
      </c>
      <c r="G126" t="s">
        <v>560</v>
      </c>
      <c r="H126" t="s">
        <v>561</v>
      </c>
      <c r="I126" t="s">
        <v>145</v>
      </c>
      <c r="J126" s="11" t="s">
        <v>145</v>
      </c>
    </row>
    <row r="127" spans="1:10" x14ac:dyDescent="0.3">
      <c r="A127" t="s">
        <v>562</v>
      </c>
      <c r="B127" t="s">
        <v>563</v>
      </c>
      <c r="C127" t="s">
        <v>145</v>
      </c>
      <c r="D127" t="s">
        <v>564</v>
      </c>
      <c r="E127" t="s">
        <v>565</v>
      </c>
      <c r="F127" s="3" t="s">
        <v>566</v>
      </c>
      <c r="G127" t="s">
        <v>567</v>
      </c>
      <c r="H127" t="s">
        <v>568</v>
      </c>
      <c r="I127" t="s">
        <v>145</v>
      </c>
      <c r="J127" s="11" t="s">
        <v>145</v>
      </c>
    </row>
    <row r="128" spans="1:10" x14ac:dyDescent="0.3">
      <c r="A128" t="s">
        <v>569</v>
      </c>
      <c r="B128" t="s">
        <v>145</v>
      </c>
      <c r="C128" t="s">
        <v>145</v>
      </c>
      <c r="D128" t="s">
        <v>145</v>
      </c>
      <c r="E128" t="s">
        <v>145</v>
      </c>
      <c r="F128" s="3" t="s">
        <v>145</v>
      </c>
      <c r="G128" t="s">
        <v>145</v>
      </c>
      <c r="H128" t="s">
        <v>145</v>
      </c>
      <c r="I128" t="s">
        <v>145</v>
      </c>
      <c r="J128" s="11" t="s">
        <v>145</v>
      </c>
    </row>
    <row r="129" spans="1:10" x14ac:dyDescent="0.3">
      <c r="A129" t="s">
        <v>570</v>
      </c>
      <c r="B129" t="s">
        <v>571</v>
      </c>
      <c r="C129" t="s">
        <v>572</v>
      </c>
      <c r="D129" t="s">
        <v>145</v>
      </c>
      <c r="E129" t="s">
        <v>573</v>
      </c>
      <c r="F129" s="3" t="s">
        <v>574</v>
      </c>
      <c r="G129" t="s">
        <v>572</v>
      </c>
      <c r="H129" t="s">
        <v>145</v>
      </c>
      <c r="I129" t="s">
        <v>145</v>
      </c>
      <c r="J129" s="11" t="s">
        <v>145</v>
      </c>
    </row>
    <row r="130" spans="1:10" x14ac:dyDescent="0.3">
      <c r="A130" t="s">
        <v>575</v>
      </c>
      <c r="B130" t="s">
        <v>576</v>
      </c>
      <c r="C130" t="s">
        <v>577</v>
      </c>
      <c r="D130" t="s">
        <v>145</v>
      </c>
      <c r="E130" t="s">
        <v>578</v>
      </c>
      <c r="F130" s="3" t="s">
        <v>579</v>
      </c>
      <c r="G130" t="s">
        <v>580</v>
      </c>
      <c r="H130" t="s">
        <v>145</v>
      </c>
      <c r="I130" t="s">
        <v>145</v>
      </c>
      <c r="J130" s="11" t="s">
        <v>145</v>
      </c>
    </row>
    <row r="131" spans="1:10" x14ac:dyDescent="0.3">
      <c r="A131" t="s">
        <v>581</v>
      </c>
      <c r="B131" t="s">
        <v>582</v>
      </c>
      <c r="C131" t="s">
        <v>907</v>
      </c>
      <c r="D131" t="s">
        <v>583</v>
      </c>
      <c r="E131" t="s">
        <v>584</v>
      </c>
      <c r="F131" s="3" t="s">
        <v>585</v>
      </c>
      <c r="G131" t="s">
        <v>586</v>
      </c>
      <c r="H131" t="s">
        <v>587</v>
      </c>
      <c r="I131" t="s">
        <v>145</v>
      </c>
      <c r="J131" s="11" t="s">
        <v>145</v>
      </c>
    </row>
    <row r="132" spans="1:10" x14ac:dyDescent="0.3">
      <c r="A132" t="s">
        <v>588</v>
      </c>
      <c r="B132" t="s">
        <v>582</v>
      </c>
      <c r="C132" t="s">
        <v>907</v>
      </c>
      <c r="D132" t="s">
        <v>583</v>
      </c>
      <c r="E132" t="s">
        <v>589</v>
      </c>
      <c r="F132" s="3">
        <v>730313979</v>
      </c>
      <c r="G132" s="4" t="s">
        <v>590</v>
      </c>
      <c r="H132" t="s">
        <v>587</v>
      </c>
      <c r="I132" t="s">
        <v>826</v>
      </c>
      <c r="J132" s="11">
        <v>7365565715893</v>
      </c>
    </row>
    <row r="133" spans="1:10" x14ac:dyDescent="0.3">
      <c r="A133" t="s">
        <v>591</v>
      </c>
      <c r="B133" t="s">
        <v>145</v>
      </c>
      <c r="C133" t="s">
        <v>145</v>
      </c>
      <c r="D133" t="s">
        <v>145</v>
      </c>
      <c r="E133" t="s">
        <v>145</v>
      </c>
      <c r="F133" s="3" t="s">
        <v>145</v>
      </c>
      <c r="G133" t="s">
        <v>145</v>
      </c>
      <c r="H133" t="s">
        <v>145</v>
      </c>
      <c r="I133" t="s">
        <v>145</v>
      </c>
      <c r="J133" s="11" t="s">
        <v>145</v>
      </c>
    </row>
    <row r="134" spans="1:10" x14ac:dyDescent="0.3">
      <c r="A134" t="s">
        <v>592</v>
      </c>
      <c r="B134" t="s">
        <v>347</v>
      </c>
      <c r="C134" t="s">
        <v>145</v>
      </c>
      <c r="D134" t="s">
        <v>593</v>
      </c>
      <c r="E134" t="s">
        <v>594</v>
      </c>
      <c r="F134" s="3" t="s">
        <v>145</v>
      </c>
      <c r="G134" t="s">
        <v>595</v>
      </c>
      <c r="H134" t="s">
        <v>145</v>
      </c>
      <c r="I134" t="s">
        <v>145</v>
      </c>
      <c r="J134" s="11" t="s">
        <v>145</v>
      </c>
    </row>
    <row r="135" spans="1:10" x14ac:dyDescent="0.3">
      <c r="A135" t="s">
        <v>596</v>
      </c>
      <c r="B135" t="s">
        <v>597</v>
      </c>
      <c r="C135" t="s">
        <v>145</v>
      </c>
      <c r="D135" t="s">
        <v>593</v>
      </c>
      <c r="E135" t="s">
        <v>598</v>
      </c>
      <c r="F135" s="3" t="s">
        <v>599</v>
      </c>
      <c r="G135" t="s">
        <v>600</v>
      </c>
      <c r="H135" t="s">
        <v>145</v>
      </c>
      <c r="I135" t="s">
        <v>145</v>
      </c>
      <c r="J135" s="11" t="s">
        <v>145</v>
      </c>
    </row>
    <row r="136" spans="1:10" x14ac:dyDescent="0.3">
      <c r="A136" t="s">
        <v>601</v>
      </c>
      <c r="B136" t="s">
        <v>145</v>
      </c>
      <c r="C136" t="s">
        <v>145</v>
      </c>
      <c r="D136" t="s">
        <v>145</v>
      </c>
      <c r="E136" t="s">
        <v>145</v>
      </c>
      <c r="F136" s="3" t="s">
        <v>145</v>
      </c>
      <c r="G136" t="s">
        <v>145</v>
      </c>
      <c r="H136" t="s">
        <v>145</v>
      </c>
      <c r="I136" t="s">
        <v>145</v>
      </c>
      <c r="J136" s="11" t="s">
        <v>145</v>
      </c>
    </row>
    <row r="137" spans="1:10" x14ac:dyDescent="0.3">
      <c r="A137" t="s">
        <v>602</v>
      </c>
      <c r="B137" t="s">
        <v>145</v>
      </c>
      <c r="C137" t="s">
        <v>603</v>
      </c>
      <c r="D137" t="s">
        <v>145</v>
      </c>
      <c r="E137" t="s">
        <v>604</v>
      </c>
      <c r="F137" s="3" t="s">
        <v>605</v>
      </c>
      <c r="G137" t="s">
        <v>606</v>
      </c>
      <c r="H137" t="s">
        <v>145</v>
      </c>
      <c r="I137" t="s">
        <v>145</v>
      </c>
      <c r="J137" s="11" t="s">
        <v>145</v>
      </c>
    </row>
    <row r="138" spans="1:10" x14ac:dyDescent="0.3">
      <c r="A138" t="s">
        <v>607</v>
      </c>
      <c r="B138" t="s">
        <v>235</v>
      </c>
      <c r="C138" t="s">
        <v>145</v>
      </c>
      <c r="D138" t="s">
        <v>608</v>
      </c>
      <c r="E138" t="s">
        <v>609</v>
      </c>
      <c r="F138" s="3" t="s">
        <v>865</v>
      </c>
      <c r="G138" s="4" t="s">
        <v>610</v>
      </c>
      <c r="H138" t="s">
        <v>145</v>
      </c>
      <c r="I138" t="s">
        <v>145</v>
      </c>
      <c r="J138" s="11" t="s">
        <v>145</v>
      </c>
    </row>
    <row r="139" spans="1:10" x14ac:dyDescent="0.3">
      <c r="A139" t="s">
        <v>611</v>
      </c>
      <c r="B139" t="s">
        <v>347</v>
      </c>
      <c r="C139" t="s">
        <v>145</v>
      </c>
      <c r="D139" t="s">
        <v>612</v>
      </c>
      <c r="E139" t="s">
        <v>613</v>
      </c>
      <c r="F139" s="3" t="s">
        <v>145</v>
      </c>
      <c r="G139" t="s">
        <v>614</v>
      </c>
      <c r="H139" t="s">
        <v>145</v>
      </c>
      <c r="I139" t="s">
        <v>145</v>
      </c>
      <c r="J139" s="11" t="s">
        <v>145</v>
      </c>
    </row>
    <row r="140" spans="1:10" x14ac:dyDescent="0.3">
      <c r="A140" t="s">
        <v>615</v>
      </c>
      <c r="B140" t="s">
        <v>145</v>
      </c>
      <c r="C140" t="s">
        <v>616</v>
      </c>
      <c r="D140" t="s">
        <v>617</v>
      </c>
      <c r="E140" t="s">
        <v>145</v>
      </c>
      <c r="F140" s="3" t="s">
        <v>145</v>
      </c>
      <c r="G140" t="s">
        <v>618</v>
      </c>
      <c r="H140" t="s">
        <v>145</v>
      </c>
      <c r="I140" t="s">
        <v>145</v>
      </c>
      <c r="J140" s="11" t="s">
        <v>145</v>
      </c>
    </row>
    <row r="141" spans="1:10" x14ac:dyDescent="0.3">
      <c r="A141" t="s">
        <v>619</v>
      </c>
      <c r="B141" t="s">
        <v>145</v>
      </c>
      <c r="C141" t="s">
        <v>620</v>
      </c>
      <c r="D141" t="s">
        <v>621</v>
      </c>
      <c r="E141" t="s">
        <v>621</v>
      </c>
      <c r="F141" s="3" t="s">
        <v>622</v>
      </c>
      <c r="G141" t="s">
        <v>620</v>
      </c>
      <c r="H141" t="s">
        <v>145</v>
      </c>
      <c r="I141" t="s">
        <v>145</v>
      </c>
      <c r="J141" s="11" t="s">
        <v>145</v>
      </c>
    </row>
    <row r="142" spans="1:10" x14ac:dyDescent="0.3">
      <c r="A142" t="s">
        <v>867</v>
      </c>
      <c r="B142" t="s">
        <v>145</v>
      </c>
      <c r="C142" s="4" t="s">
        <v>868</v>
      </c>
      <c r="D142" t="s">
        <v>145</v>
      </c>
      <c r="E142" t="s">
        <v>869</v>
      </c>
      <c r="F142" s="3" t="s">
        <v>870</v>
      </c>
      <c r="G142" t="s">
        <v>868</v>
      </c>
      <c r="H142" t="s">
        <v>145</v>
      </c>
      <c r="I142" t="s">
        <v>145</v>
      </c>
      <c r="J142" s="11" t="s">
        <v>145</v>
      </c>
    </row>
    <row r="143" spans="1:10" x14ac:dyDescent="0.3">
      <c r="A143" t="s">
        <v>623</v>
      </c>
      <c r="B143" t="s">
        <v>624</v>
      </c>
      <c r="C143" t="s">
        <v>625</v>
      </c>
      <c r="D143" t="s">
        <v>626</v>
      </c>
      <c r="E143" t="s">
        <v>627</v>
      </c>
      <c r="F143" s="3" t="s">
        <v>145</v>
      </c>
      <c r="G143" t="s">
        <v>625</v>
      </c>
      <c r="H143" t="s">
        <v>628</v>
      </c>
      <c r="I143" t="s">
        <v>145</v>
      </c>
      <c r="J143" s="11" t="s">
        <v>145</v>
      </c>
    </row>
    <row r="144" spans="1:10" x14ac:dyDescent="0.3">
      <c r="A144" t="s">
        <v>900</v>
      </c>
      <c r="B144" t="s">
        <v>145</v>
      </c>
      <c r="C144" s="4" t="s">
        <v>898</v>
      </c>
      <c r="D144" t="s">
        <v>145</v>
      </c>
      <c r="E144" t="s">
        <v>899</v>
      </c>
      <c r="F144" s="3" t="s">
        <v>901</v>
      </c>
      <c r="G144" s="4" t="s">
        <v>898</v>
      </c>
      <c r="H144" t="s">
        <v>145</v>
      </c>
      <c r="I144" t="s">
        <v>145</v>
      </c>
      <c r="J144" s="11" t="s">
        <v>145</v>
      </c>
    </row>
    <row r="145" spans="1:10" x14ac:dyDescent="0.3">
      <c r="A145" t="s">
        <v>629</v>
      </c>
      <c r="B145" t="s">
        <v>624</v>
      </c>
      <c r="C145" t="s">
        <v>616</v>
      </c>
      <c r="D145" t="s">
        <v>630</v>
      </c>
      <c r="E145" t="s">
        <v>630</v>
      </c>
      <c r="F145" s="3" t="s">
        <v>145</v>
      </c>
      <c r="G145" t="s">
        <v>631</v>
      </c>
      <c r="H145" t="s">
        <v>628</v>
      </c>
      <c r="I145" t="s">
        <v>145</v>
      </c>
      <c r="J145" s="11" t="s">
        <v>145</v>
      </c>
    </row>
    <row r="146" spans="1:10" x14ac:dyDescent="0.3">
      <c r="A146" t="s">
        <v>632</v>
      </c>
      <c r="B146" t="s">
        <v>145</v>
      </c>
      <c r="C146" s="4" t="s">
        <v>633</v>
      </c>
      <c r="D146" t="s">
        <v>634</v>
      </c>
      <c r="E146" t="s">
        <v>634</v>
      </c>
      <c r="F146" s="3">
        <v>731501735</v>
      </c>
      <c r="G146" s="4" t="s">
        <v>635</v>
      </c>
      <c r="H146" t="s">
        <v>145</v>
      </c>
      <c r="I146" t="s">
        <v>145</v>
      </c>
      <c r="J146" s="11" t="s">
        <v>145</v>
      </c>
    </row>
    <row r="147" spans="1:10" x14ac:dyDescent="0.3">
      <c r="A147" t="s">
        <v>636</v>
      </c>
      <c r="B147" t="s">
        <v>145</v>
      </c>
      <c r="C147" t="s">
        <v>637</v>
      </c>
      <c r="D147" t="s">
        <v>145</v>
      </c>
      <c r="E147" t="s">
        <v>638</v>
      </c>
      <c r="F147" s="3" t="s">
        <v>639</v>
      </c>
      <c r="G147" t="s">
        <v>640</v>
      </c>
      <c r="H147" t="s">
        <v>145</v>
      </c>
      <c r="I147" t="s">
        <v>145</v>
      </c>
      <c r="J147" s="11" t="s">
        <v>145</v>
      </c>
    </row>
    <row r="148" spans="1:10" x14ac:dyDescent="0.3">
      <c r="A148" t="s">
        <v>641</v>
      </c>
      <c r="B148" t="s">
        <v>642</v>
      </c>
      <c r="C148" t="s">
        <v>145</v>
      </c>
      <c r="D148" t="s">
        <v>145</v>
      </c>
      <c r="E148" t="s">
        <v>145</v>
      </c>
      <c r="F148" s="3" t="s">
        <v>145</v>
      </c>
      <c r="G148" t="s">
        <v>145</v>
      </c>
      <c r="H148" t="s">
        <v>145</v>
      </c>
      <c r="I148" t="s">
        <v>145</v>
      </c>
      <c r="J148" s="11" t="s">
        <v>145</v>
      </c>
    </row>
    <row r="149" spans="1:10" x14ac:dyDescent="0.3">
      <c r="A149" t="s">
        <v>643</v>
      </c>
      <c r="B149" t="s">
        <v>145</v>
      </c>
      <c r="C149" t="s">
        <v>145</v>
      </c>
      <c r="D149" t="s">
        <v>145</v>
      </c>
      <c r="E149" t="s">
        <v>145</v>
      </c>
      <c r="F149" s="3" t="s">
        <v>145</v>
      </c>
      <c r="G149" t="s">
        <v>145</v>
      </c>
      <c r="H149" t="s">
        <v>145</v>
      </c>
      <c r="I149" t="s">
        <v>145</v>
      </c>
      <c r="J149" s="11" t="s">
        <v>145</v>
      </c>
    </row>
    <row r="150" spans="1:10" x14ac:dyDescent="0.3">
      <c r="A150" t="s">
        <v>949</v>
      </c>
      <c r="B150" t="s">
        <v>145</v>
      </c>
      <c r="C150" t="s">
        <v>950</v>
      </c>
      <c r="D150" t="s">
        <v>951</v>
      </c>
      <c r="E150" t="s">
        <v>952</v>
      </c>
      <c r="F150" s="3" t="s">
        <v>423</v>
      </c>
      <c r="G150" s="4" t="s">
        <v>424</v>
      </c>
      <c r="H150" t="s">
        <v>953</v>
      </c>
      <c r="I150" t="s">
        <v>145</v>
      </c>
      <c r="J150" s="11" t="s">
        <v>145</v>
      </c>
    </row>
    <row r="151" spans="1:10" x14ac:dyDescent="0.3">
      <c r="A151" t="s">
        <v>644</v>
      </c>
      <c r="B151" t="s">
        <v>645</v>
      </c>
      <c r="C151" t="s">
        <v>646</v>
      </c>
      <c r="D151" t="s">
        <v>647</v>
      </c>
      <c r="E151" t="s">
        <v>648</v>
      </c>
      <c r="F151" s="3" t="s">
        <v>649</v>
      </c>
      <c r="G151" t="s">
        <v>650</v>
      </c>
      <c r="H151" t="s">
        <v>651</v>
      </c>
      <c r="I151" t="s">
        <v>145</v>
      </c>
      <c r="J151" s="11" t="s">
        <v>145</v>
      </c>
    </row>
    <row r="152" spans="1:10" x14ac:dyDescent="0.3">
      <c r="A152" t="s">
        <v>652</v>
      </c>
      <c r="B152" t="s">
        <v>653</v>
      </c>
      <c r="C152" t="s">
        <v>145</v>
      </c>
      <c r="D152" t="s">
        <v>145</v>
      </c>
      <c r="E152" t="s">
        <v>654</v>
      </c>
      <c r="F152" s="3" t="s">
        <v>655</v>
      </c>
      <c r="G152" t="s">
        <v>656</v>
      </c>
      <c r="H152" t="s">
        <v>145</v>
      </c>
      <c r="I152" t="s">
        <v>145</v>
      </c>
      <c r="J152" s="11" t="s">
        <v>145</v>
      </c>
    </row>
    <row r="153" spans="1:10" x14ac:dyDescent="0.3">
      <c r="A153" t="s">
        <v>657</v>
      </c>
      <c r="B153" t="s">
        <v>145</v>
      </c>
      <c r="C153" t="s">
        <v>145</v>
      </c>
      <c r="D153" t="s">
        <v>145</v>
      </c>
      <c r="E153" t="s">
        <v>658</v>
      </c>
      <c r="F153" s="3" t="s">
        <v>921</v>
      </c>
      <c r="G153" t="s">
        <v>659</v>
      </c>
      <c r="H153" t="s">
        <v>145</v>
      </c>
      <c r="I153" t="s">
        <v>145</v>
      </c>
      <c r="J153" s="11" t="s">
        <v>145</v>
      </c>
    </row>
    <row r="154" spans="1:10" x14ac:dyDescent="0.3">
      <c r="A154" t="s">
        <v>660</v>
      </c>
      <c r="B154" t="s">
        <v>145</v>
      </c>
      <c r="C154" t="s">
        <v>145</v>
      </c>
      <c r="D154" t="s">
        <v>145</v>
      </c>
      <c r="E154" t="s">
        <v>145</v>
      </c>
      <c r="F154" s="3" t="s">
        <v>145</v>
      </c>
      <c r="G154" t="s">
        <v>145</v>
      </c>
      <c r="H154" t="s">
        <v>145</v>
      </c>
      <c r="I154" t="s">
        <v>145</v>
      </c>
      <c r="J154" s="11" t="s">
        <v>145</v>
      </c>
    </row>
    <row r="155" spans="1:10" x14ac:dyDescent="0.3">
      <c r="A155" t="s">
        <v>661</v>
      </c>
      <c r="B155" t="s">
        <v>662</v>
      </c>
      <c r="C155" t="s">
        <v>145</v>
      </c>
      <c r="D155" t="s">
        <v>145</v>
      </c>
      <c r="E155" t="s">
        <v>663</v>
      </c>
      <c r="F155" s="3">
        <v>707981571</v>
      </c>
      <c r="G155" t="s">
        <v>664</v>
      </c>
      <c r="H155" t="s">
        <v>145</v>
      </c>
      <c r="I155" t="s">
        <v>145</v>
      </c>
      <c r="J155" s="11" t="s">
        <v>145</v>
      </c>
    </row>
    <row r="156" spans="1:10" x14ac:dyDescent="0.3">
      <c r="A156" t="s">
        <v>888</v>
      </c>
      <c r="B156" t="s">
        <v>889</v>
      </c>
      <c r="C156" t="s">
        <v>145</v>
      </c>
      <c r="D156" t="s">
        <v>145</v>
      </c>
      <c r="E156" t="s">
        <v>890</v>
      </c>
      <c r="F156" s="3" t="s">
        <v>891</v>
      </c>
      <c r="G156" s="4" t="s">
        <v>892</v>
      </c>
      <c r="H156" t="s">
        <v>893</v>
      </c>
      <c r="I156" t="s">
        <v>145</v>
      </c>
      <c r="J156" s="11" t="s">
        <v>145</v>
      </c>
    </row>
    <row r="157" spans="1:10" x14ac:dyDescent="0.3">
      <c r="A157" t="s">
        <v>665</v>
      </c>
      <c r="B157" t="s">
        <v>666</v>
      </c>
      <c r="C157" t="s">
        <v>145</v>
      </c>
      <c r="D157" t="s">
        <v>145</v>
      </c>
      <c r="E157" t="s">
        <v>667</v>
      </c>
      <c r="F157" s="3" t="s">
        <v>668</v>
      </c>
      <c r="G157" t="s">
        <v>287</v>
      </c>
      <c r="H157" t="s">
        <v>145</v>
      </c>
      <c r="I157" t="s">
        <v>145</v>
      </c>
      <c r="J157" s="11" t="s">
        <v>145</v>
      </c>
    </row>
    <row r="158" spans="1:10" x14ac:dyDescent="0.3">
      <c r="A158" t="s">
        <v>852</v>
      </c>
      <c r="B158" t="s">
        <v>145</v>
      </c>
      <c r="C158" t="s">
        <v>853</v>
      </c>
      <c r="D158" t="s">
        <v>145</v>
      </c>
      <c r="E158" t="s">
        <v>854</v>
      </c>
      <c r="F158" s="3" t="s">
        <v>855</v>
      </c>
      <c r="G158" t="s">
        <v>853</v>
      </c>
      <c r="H158" t="s">
        <v>145</v>
      </c>
      <c r="I158" t="s">
        <v>145</v>
      </c>
      <c r="J158" s="11" t="s">
        <v>145</v>
      </c>
    </row>
    <row r="159" spans="1:10" x14ac:dyDescent="0.3">
      <c r="A159" t="s">
        <v>669</v>
      </c>
      <c r="B159" t="s">
        <v>670</v>
      </c>
      <c r="C159" t="s">
        <v>145</v>
      </c>
      <c r="D159">
        <v>1008</v>
      </c>
      <c r="E159" t="s">
        <v>671</v>
      </c>
      <c r="F159" s="3" t="s">
        <v>672</v>
      </c>
      <c r="G159" t="s">
        <v>673</v>
      </c>
      <c r="H159" t="s">
        <v>145</v>
      </c>
      <c r="I159" t="s">
        <v>145</v>
      </c>
      <c r="J159" s="11" t="s">
        <v>145</v>
      </c>
    </row>
    <row r="160" spans="1:10" x14ac:dyDescent="0.3">
      <c r="A160" t="s">
        <v>674</v>
      </c>
      <c r="B160" t="s">
        <v>145</v>
      </c>
      <c r="C160" t="s">
        <v>145</v>
      </c>
      <c r="D160" t="s">
        <v>145</v>
      </c>
      <c r="E160" t="s">
        <v>145</v>
      </c>
      <c r="F160" s="3" t="s">
        <v>145</v>
      </c>
      <c r="G160" t="s">
        <v>145</v>
      </c>
      <c r="H160" t="s">
        <v>145</v>
      </c>
      <c r="I160" t="s">
        <v>145</v>
      </c>
      <c r="J160" s="11" t="s">
        <v>145</v>
      </c>
    </row>
    <row r="161" spans="1:10" x14ac:dyDescent="0.3">
      <c r="A161" t="s">
        <v>675</v>
      </c>
      <c r="B161" t="s">
        <v>268</v>
      </c>
      <c r="C161" t="s">
        <v>145</v>
      </c>
      <c r="D161" t="s">
        <v>676</v>
      </c>
      <c r="E161" t="s">
        <v>197</v>
      </c>
      <c r="F161" s="3" t="s">
        <v>145</v>
      </c>
      <c r="G161" t="s">
        <v>677</v>
      </c>
      <c r="H161" t="s">
        <v>145</v>
      </c>
      <c r="I161" t="s">
        <v>145</v>
      </c>
      <c r="J161" s="11" t="s">
        <v>145</v>
      </c>
    </row>
    <row r="162" spans="1:10" x14ac:dyDescent="0.3">
      <c r="A162" t="s">
        <v>678</v>
      </c>
      <c r="B162" t="s">
        <v>268</v>
      </c>
      <c r="C162" t="s">
        <v>145</v>
      </c>
      <c r="D162" t="s">
        <v>676</v>
      </c>
      <c r="E162" t="s">
        <v>281</v>
      </c>
      <c r="F162" s="3">
        <v>738166102</v>
      </c>
      <c r="G162" s="4" t="s">
        <v>283</v>
      </c>
      <c r="H162" t="s">
        <v>145</v>
      </c>
      <c r="I162" t="s">
        <v>145</v>
      </c>
      <c r="J162" s="11" t="s">
        <v>145</v>
      </c>
    </row>
    <row r="163" spans="1:10" x14ac:dyDescent="0.3">
      <c r="A163" t="s">
        <v>679</v>
      </c>
      <c r="B163" t="s">
        <v>352</v>
      </c>
      <c r="C163" t="s">
        <v>145</v>
      </c>
      <c r="D163" t="s">
        <v>680</v>
      </c>
      <c r="E163" t="s">
        <v>681</v>
      </c>
      <c r="F163" s="3" t="s">
        <v>682</v>
      </c>
      <c r="G163" t="s">
        <v>683</v>
      </c>
      <c r="H163" t="s">
        <v>240</v>
      </c>
      <c r="I163" t="s">
        <v>145</v>
      </c>
      <c r="J163" s="11" t="s">
        <v>145</v>
      </c>
    </row>
    <row r="164" spans="1:10" x14ac:dyDescent="0.3">
      <c r="A164" t="s">
        <v>860</v>
      </c>
      <c r="B164" t="s">
        <v>268</v>
      </c>
      <c r="C164" t="s">
        <v>145</v>
      </c>
      <c r="D164" t="s">
        <v>479</v>
      </c>
      <c r="E164" t="s">
        <v>480</v>
      </c>
      <c r="F164" s="3" t="s">
        <v>489</v>
      </c>
      <c r="G164" t="s">
        <v>482</v>
      </c>
      <c r="H164" t="s">
        <v>145</v>
      </c>
      <c r="I164" t="s">
        <v>145</v>
      </c>
      <c r="J164" s="11" t="s">
        <v>145</v>
      </c>
    </row>
    <row r="165" spans="1:10" x14ac:dyDescent="0.3">
      <c r="A165" t="s">
        <v>684</v>
      </c>
      <c r="B165" t="s">
        <v>145</v>
      </c>
      <c r="C165" t="s">
        <v>145</v>
      </c>
      <c r="D165" t="s">
        <v>169</v>
      </c>
      <c r="I165" t="s">
        <v>145</v>
      </c>
      <c r="J165" s="11" t="s">
        <v>145</v>
      </c>
    </row>
    <row r="166" spans="1:10" x14ac:dyDescent="0.3">
      <c r="A166" t="s">
        <v>887</v>
      </c>
      <c r="B166" t="s">
        <v>145</v>
      </c>
      <c r="C166" t="s">
        <v>145</v>
      </c>
      <c r="D166" t="s">
        <v>145</v>
      </c>
      <c r="E166" t="s">
        <v>145</v>
      </c>
      <c r="F166" s="3" t="s">
        <v>145</v>
      </c>
      <c r="G166" t="s">
        <v>145</v>
      </c>
      <c r="H166" t="s">
        <v>145</v>
      </c>
      <c r="I166" t="s">
        <v>145</v>
      </c>
      <c r="J166" s="11" t="s">
        <v>145</v>
      </c>
    </row>
    <row r="167" spans="1:10" x14ac:dyDescent="0.3">
      <c r="A167" t="s">
        <v>685</v>
      </c>
      <c r="B167" t="s">
        <v>145</v>
      </c>
      <c r="C167" t="s">
        <v>145</v>
      </c>
      <c r="D167" t="s">
        <v>145</v>
      </c>
      <c r="E167" t="s">
        <v>686</v>
      </c>
      <c r="F167" s="3" t="s">
        <v>145</v>
      </c>
      <c r="G167" t="s">
        <v>145</v>
      </c>
      <c r="H167" t="s">
        <v>145</v>
      </c>
      <c r="I167" t="s">
        <v>145</v>
      </c>
      <c r="J167" s="11" t="s">
        <v>145</v>
      </c>
    </row>
    <row r="168" spans="1:10" x14ac:dyDescent="0.3">
      <c r="A168" t="s">
        <v>687</v>
      </c>
      <c r="B168" t="s">
        <v>145</v>
      </c>
      <c r="C168" t="s">
        <v>285</v>
      </c>
      <c r="D168" t="s">
        <v>145</v>
      </c>
      <c r="E168" t="s">
        <v>290</v>
      </c>
      <c r="F168" s="3" t="s">
        <v>145</v>
      </c>
      <c r="G168" t="s">
        <v>291</v>
      </c>
      <c r="H168" t="s">
        <v>145</v>
      </c>
      <c r="I168" t="s">
        <v>145</v>
      </c>
      <c r="J168" s="11" t="s">
        <v>145</v>
      </c>
    </row>
    <row r="169" spans="1:10" x14ac:dyDescent="0.3">
      <c r="A169" t="s">
        <v>688</v>
      </c>
      <c r="B169" t="s">
        <v>145</v>
      </c>
      <c r="C169" t="s">
        <v>285</v>
      </c>
      <c r="D169" t="s">
        <v>145</v>
      </c>
      <c r="E169" t="s">
        <v>290</v>
      </c>
      <c r="F169" s="3" t="s">
        <v>145</v>
      </c>
      <c r="G169" t="s">
        <v>291</v>
      </c>
      <c r="H169" t="s">
        <v>145</v>
      </c>
      <c r="I169" t="s">
        <v>145</v>
      </c>
      <c r="J169" s="11" t="s">
        <v>145</v>
      </c>
    </row>
    <row r="170" spans="1:10" x14ac:dyDescent="0.3">
      <c r="A170" t="s">
        <v>689</v>
      </c>
      <c r="B170" t="s">
        <v>145</v>
      </c>
      <c r="C170" t="s">
        <v>285</v>
      </c>
      <c r="D170" t="s">
        <v>145</v>
      </c>
      <c r="E170" t="s">
        <v>290</v>
      </c>
      <c r="F170" s="3" t="s">
        <v>145</v>
      </c>
      <c r="G170" t="s">
        <v>291</v>
      </c>
      <c r="H170" t="s">
        <v>145</v>
      </c>
      <c r="I170" t="s">
        <v>145</v>
      </c>
      <c r="J170" s="11" t="s">
        <v>145</v>
      </c>
    </row>
    <row r="171" spans="1:10" x14ac:dyDescent="0.3">
      <c r="A171" t="s">
        <v>690</v>
      </c>
      <c r="B171" t="s">
        <v>145</v>
      </c>
      <c r="C171" t="s">
        <v>145</v>
      </c>
      <c r="D171" t="s">
        <v>145</v>
      </c>
      <c r="E171" t="s">
        <v>145</v>
      </c>
      <c r="F171" s="3" t="s">
        <v>145</v>
      </c>
      <c r="G171" t="s">
        <v>145</v>
      </c>
      <c r="H171" t="s">
        <v>145</v>
      </c>
      <c r="I171" t="s">
        <v>145</v>
      </c>
      <c r="J171" s="11" t="s">
        <v>145</v>
      </c>
    </row>
    <row r="172" spans="1:10" x14ac:dyDescent="0.3">
      <c r="A172" t="s">
        <v>691</v>
      </c>
      <c r="B172" t="s">
        <v>692</v>
      </c>
      <c r="C172" t="s">
        <v>145</v>
      </c>
      <c r="D172" t="s">
        <v>145</v>
      </c>
      <c r="E172" t="s">
        <v>693</v>
      </c>
      <c r="F172" s="3" t="s">
        <v>694</v>
      </c>
      <c r="G172" t="s">
        <v>695</v>
      </c>
      <c r="H172" t="s">
        <v>145</v>
      </c>
      <c r="I172" t="s">
        <v>145</v>
      </c>
      <c r="J172" s="11" t="s">
        <v>145</v>
      </c>
    </row>
    <row r="173" spans="1:10" x14ac:dyDescent="0.3">
      <c r="A173" t="s">
        <v>930</v>
      </c>
      <c r="B173" t="s">
        <v>931</v>
      </c>
      <c r="C173" t="s">
        <v>145</v>
      </c>
      <c r="D173" t="s">
        <v>145</v>
      </c>
      <c r="E173" t="s">
        <v>932</v>
      </c>
      <c r="F173" s="3" t="s">
        <v>935</v>
      </c>
      <c r="G173" s="4" t="s">
        <v>933</v>
      </c>
      <c r="H173" t="s">
        <v>934</v>
      </c>
      <c r="I173" t="s">
        <v>145</v>
      </c>
      <c r="J173" s="11" t="s">
        <v>145</v>
      </c>
    </row>
    <row r="174" spans="1:10" x14ac:dyDescent="0.3">
      <c r="A174" t="s">
        <v>696</v>
      </c>
      <c r="B174" t="s">
        <v>145</v>
      </c>
      <c r="C174" t="s">
        <v>145</v>
      </c>
      <c r="D174" t="s">
        <v>145</v>
      </c>
      <c r="E174" t="s">
        <v>145</v>
      </c>
      <c r="F174" s="3" t="s">
        <v>145</v>
      </c>
      <c r="G174" t="s">
        <v>145</v>
      </c>
      <c r="H174" t="s">
        <v>145</v>
      </c>
      <c r="I174" t="s">
        <v>145</v>
      </c>
      <c r="J174" s="11" t="s">
        <v>145</v>
      </c>
    </row>
    <row r="175" spans="1:10" x14ac:dyDescent="0.3">
      <c r="A175" t="s">
        <v>697</v>
      </c>
      <c r="B175" t="s">
        <v>145</v>
      </c>
      <c r="C175" t="s">
        <v>145</v>
      </c>
      <c r="D175" t="s">
        <v>145</v>
      </c>
      <c r="E175" t="s">
        <v>145</v>
      </c>
      <c r="F175" s="3" t="s">
        <v>145</v>
      </c>
      <c r="G175" t="s">
        <v>145</v>
      </c>
      <c r="H175" t="s">
        <v>145</v>
      </c>
      <c r="I175" t="s">
        <v>145</v>
      </c>
      <c r="J175" s="11" t="s">
        <v>145</v>
      </c>
    </row>
    <row r="176" spans="1:10" x14ac:dyDescent="0.3">
      <c r="A176" t="s">
        <v>698</v>
      </c>
      <c r="B176" t="s">
        <v>145</v>
      </c>
      <c r="C176" t="s">
        <v>145</v>
      </c>
      <c r="D176" t="s">
        <v>145</v>
      </c>
      <c r="E176" t="s">
        <v>145</v>
      </c>
      <c r="F176" s="3" t="s">
        <v>145</v>
      </c>
      <c r="G176" t="s">
        <v>145</v>
      </c>
      <c r="H176" t="s">
        <v>145</v>
      </c>
      <c r="I176" t="s">
        <v>145</v>
      </c>
      <c r="J176" s="11" t="s">
        <v>145</v>
      </c>
    </row>
    <row r="177" spans="1:10" x14ac:dyDescent="0.3">
      <c r="A177" t="s">
        <v>699</v>
      </c>
      <c r="B177" t="s">
        <v>145</v>
      </c>
      <c r="C177" t="s">
        <v>145</v>
      </c>
      <c r="D177" t="s">
        <v>145</v>
      </c>
      <c r="E177" t="s">
        <v>145</v>
      </c>
      <c r="F177" s="3" t="s">
        <v>145</v>
      </c>
      <c r="G177" t="s">
        <v>145</v>
      </c>
      <c r="H177" t="s">
        <v>145</v>
      </c>
      <c r="I177" t="s">
        <v>145</v>
      </c>
      <c r="J177" s="11" t="s">
        <v>145</v>
      </c>
    </row>
    <row r="178" spans="1:10" x14ac:dyDescent="0.3">
      <c r="A178" t="s">
        <v>700</v>
      </c>
      <c r="B178" t="s">
        <v>145</v>
      </c>
      <c r="C178" t="s">
        <v>145</v>
      </c>
      <c r="D178" t="s">
        <v>145</v>
      </c>
      <c r="E178" t="s">
        <v>145</v>
      </c>
      <c r="F178" s="3" t="s">
        <v>145</v>
      </c>
      <c r="G178" t="s">
        <v>145</v>
      </c>
      <c r="H178" t="s">
        <v>145</v>
      </c>
      <c r="I178" t="s">
        <v>145</v>
      </c>
      <c r="J178" s="11" t="s">
        <v>145</v>
      </c>
    </row>
    <row r="179" spans="1:10" x14ac:dyDescent="0.3">
      <c r="A179" t="s">
        <v>701</v>
      </c>
      <c r="B179" t="s">
        <v>145</v>
      </c>
      <c r="C179" t="s">
        <v>145</v>
      </c>
      <c r="D179" t="s">
        <v>145</v>
      </c>
      <c r="E179" t="s">
        <v>145</v>
      </c>
      <c r="F179" s="3" t="s">
        <v>145</v>
      </c>
      <c r="G179" t="s">
        <v>145</v>
      </c>
      <c r="H179" t="s">
        <v>145</v>
      </c>
      <c r="I179" t="s">
        <v>145</v>
      </c>
      <c r="J179" s="11" t="s">
        <v>145</v>
      </c>
    </row>
    <row r="180" spans="1:10" x14ac:dyDescent="0.3">
      <c r="A180" t="s">
        <v>702</v>
      </c>
      <c r="B180" t="s">
        <v>145</v>
      </c>
      <c r="C180" t="s">
        <v>145</v>
      </c>
      <c r="D180" t="s">
        <v>145</v>
      </c>
      <c r="E180" t="s">
        <v>145</v>
      </c>
      <c r="F180" s="3" t="s">
        <v>145</v>
      </c>
      <c r="G180" t="s">
        <v>145</v>
      </c>
      <c r="H180" t="s">
        <v>145</v>
      </c>
      <c r="I180" t="s">
        <v>145</v>
      </c>
      <c r="J180" s="11" t="s">
        <v>145</v>
      </c>
    </row>
    <row r="181" spans="1:10" x14ac:dyDescent="0.3">
      <c r="A181" t="s">
        <v>703</v>
      </c>
      <c r="B181" t="s">
        <v>145</v>
      </c>
      <c r="C181" t="s">
        <v>145</v>
      </c>
      <c r="D181" t="s">
        <v>145</v>
      </c>
      <c r="E181" t="s">
        <v>145</v>
      </c>
      <c r="F181" s="3" t="s">
        <v>145</v>
      </c>
      <c r="G181" t="s">
        <v>145</v>
      </c>
      <c r="H181" t="s">
        <v>145</v>
      </c>
      <c r="I181" t="s">
        <v>145</v>
      </c>
      <c r="J181" s="11" t="s">
        <v>145</v>
      </c>
    </row>
    <row r="182" spans="1:10" x14ac:dyDescent="0.3">
      <c r="A182" t="s">
        <v>909</v>
      </c>
      <c r="B182" t="s">
        <v>145</v>
      </c>
      <c r="C182" t="s">
        <v>145</v>
      </c>
      <c r="D182" t="s">
        <v>917</v>
      </c>
      <c r="E182" t="s">
        <v>819</v>
      </c>
      <c r="F182" s="3" t="s">
        <v>910</v>
      </c>
      <c r="G182" t="s">
        <v>821</v>
      </c>
      <c r="H182" t="s">
        <v>145</v>
      </c>
      <c r="I182" t="s">
        <v>145</v>
      </c>
      <c r="J182" s="11" t="s">
        <v>145</v>
      </c>
    </row>
    <row r="183" spans="1:10" x14ac:dyDescent="0.3">
      <c r="A183" t="s">
        <v>704</v>
      </c>
      <c r="B183" t="s">
        <v>145</v>
      </c>
      <c r="C183" t="s">
        <v>145</v>
      </c>
      <c r="D183" t="s">
        <v>917</v>
      </c>
      <c r="E183" t="s">
        <v>705</v>
      </c>
      <c r="F183" s="3" t="s">
        <v>706</v>
      </c>
      <c r="G183" t="s">
        <v>707</v>
      </c>
      <c r="H183" t="s">
        <v>145</v>
      </c>
      <c r="I183" t="s">
        <v>145</v>
      </c>
      <c r="J183" s="11" t="s">
        <v>145</v>
      </c>
    </row>
    <row r="184" spans="1:10" x14ac:dyDescent="0.3">
      <c r="A184" t="s">
        <v>708</v>
      </c>
      <c r="B184" t="s">
        <v>145</v>
      </c>
      <c r="C184" t="s">
        <v>145</v>
      </c>
      <c r="D184" t="s">
        <v>917</v>
      </c>
      <c r="E184" t="s">
        <v>709</v>
      </c>
      <c r="F184" s="3" t="s">
        <v>710</v>
      </c>
      <c r="G184" t="s">
        <v>711</v>
      </c>
      <c r="H184" t="s">
        <v>145</v>
      </c>
      <c r="I184" t="s">
        <v>145</v>
      </c>
      <c r="J184" s="11" t="s">
        <v>145</v>
      </c>
    </row>
    <row r="185" spans="1:10" x14ac:dyDescent="0.3">
      <c r="A185" t="s">
        <v>712</v>
      </c>
      <c r="B185" t="s">
        <v>145</v>
      </c>
      <c r="C185" t="s">
        <v>145</v>
      </c>
      <c r="D185" t="s">
        <v>917</v>
      </c>
      <c r="E185" t="s">
        <v>161</v>
      </c>
      <c r="F185" s="3" t="s">
        <v>713</v>
      </c>
      <c r="G185" t="s">
        <v>163</v>
      </c>
      <c r="H185" t="s">
        <v>145</v>
      </c>
      <c r="I185" t="s">
        <v>145</v>
      </c>
      <c r="J185" s="11" t="s">
        <v>145</v>
      </c>
    </row>
    <row r="186" spans="1:10" x14ac:dyDescent="0.3">
      <c r="A186" t="s">
        <v>916</v>
      </c>
      <c r="B186" t="s">
        <v>145</v>
      </c>
      <c r="C186" t="s">
        <v>145</v>
      </c>
      <c r="D186" t="s">
        <v>917</v>
      </c>
      <c r="E186" t="s">
        <v>918</v>
      </c>
      <c r="F186" s="3" t="s">
        <v>920</v>
      </c>
      <c r="G186" s="4" t="s">
        <v>919</v>
      </c>
      <c r="H186" t="s">
        <v>145</v>
      </c>
      <c r="I186" t="s">
        <v>145</v>
      </c>
      <c r="J186" s="11" t="s">
        <v>145</v>
      </c>
    </row>
    <row r="187" spans="1:10" x14ac:dyDescent="0.3">
      <c r="A187" t="s">
        <v>714</v>
      </c>
      <c r="B187" t="s">
        <v>145</v>
      </c>
      <c r="C187" t="s">
        <v>145</v>
      </c>
      <c r="D187" t="s">
        <v>917</v>
      </c>
      <c r="E187" t="s">
        <v>145</v>
      </c>
      <c r="F187" s="3" t="s">
        <v>145</v>
      </c>
      <c r="G187" t="s">
        <v>145</v>
      </c>
      <c r="H187" t="s">
        <v>145</v>
      </c>
      <c r="I187" t="s">
        <v>145</v>
      </c>
      <c r="J187" s="11" t="s">
        <v>145</v>
      </c>
    </row>
    <row r="188" spans="1:10" x14ac:dyDescent="0.3">
      <c r="A188" t="s">
        <v>866</v>
      </c>
      <c r="B188" t="s">
        <v>145</v>
      </c>
      <c r="C188" t="s">
        <v>145</v>
      </c>
      <c r="D188" t="s">
        <v>145</v>
      </c>
      <c r="E188" t="s">
        <v>145</v>
      </c>
      <c r="F188" s="3" t="s">
        <v>145</v>
      </c>
      <c r="G188" t="s">
        <v>145</v>
      </c>
      <c r="H188" t="s">
        <v>145</v>
      </c>
      <c r="I188" t="s">
        <v>145</v>
      </c>
      <c r="J188" s="11" t="s">
        <v>145</v>
      </c>
    </row>
    <row r="189" spans="1:10" x14ac:dyDescent="0.3">
      <c r="A189" t="s">
        <v>715</v>
      </c>
      <c r="B189" t="s">
        <v>145</v>
      </c>
      <c r="C189" t="s">
        <v>145</v>
      </c>
      <c r="D189" t="s">
        <v>145</v>
      </c>
      <c r="E189" t="s">
        <v>145</v>
      </c>
      <c r="F189" s="3" t="s">
        <v>145</v>
      </c>
      <c r="G189" t="s">
        <v>145</v>
      </c>
      <c r="H189" t="s">
        <v>145</v>
      </c>
      <c r="I189" t="s">
        <v>145</v>
      </c>
      <c r="J189" s="11" t="s">
        <v>145</v>
      </c>
    </row>
    <row r="190" spans="1:10" x14ac:dyDescent="0.3">
      <c r="A190" t="s">
        <v>716</v>
      </c>
      <c r="B190" t="s">
        <v>145</v>
      </c>
      <c r="C190" t="s">
        <v>717</v>
      </c>
      <c r="D190" t="s">
        <v>145</v>
      </c>
      <c r="E190" t="s">
        <v>718</v>
      </c>
      <c r="F190" s="3" t="s">
        <v>145</v>
      </c>
      <c r="G190" t="s">
        <v>719</v>
      </c>
      <c r="H190" t="s">
        <v>145</v>
      </c>
      <c r="I190" t="s">
        <v>145</v>
      </c>
      <c r="J190" s="11" t="s">
        <v>145</v>
      </c>
    </row>
    <row r="191" spans="1:10" x14ac:dyDescent="0.3">
      <c r="A191" t="s">
        <v>720</v>
      </c>
      <c r="B191" t="s">
        <v>721</v>
      </c>
      <c r="C191" t="s">
        <v>722</v>
      </c>
      <c r="D191" t="s">
        <v>145</v>
      </c>
      <c r="E191" t="s">
        <v>723</v>
      </c>
      <c r="F191" s="3" t="s">
        <v>724</v>
      </c>
      <c r="G191" t="s">
        <v>722</v>
      </c>
      <c r="I191" t="s">
        <v>145</v>
      </c>
      <c r="J191" s="11" t="s">
        <v>145</v>
      </c>
    </row>
    <row r="192" spans="1:10" x14ac:dyDescent="0.3">
      <c r="A192" t="s">
        <v>839</v>
      </c>
      <c r="B192" t="s">
        <v>145</v>
      </c>
      <c r="C192" s="4" t="s">
        <v>840</v>
      </c>
      <c r="D192" t="s">
        <v>145</v>
      </c>
      <c r="E192" t="s">
        <v>841</v>
      </c>
      <c r="F192" s="3" t="s">
        <v>842</v>
      </c>
      <c r="G192" s="4" t="s">
        <v>840</v>
      </c>
      <c r="H192" t="s">
        <v>145</v>
      </c>
      <c r="I192" t="s">
        <v>145</v>
      </c>
      <c r="J192" s="11" t="s">
        <v>145</v>
      </c>
    </row>
    <row r="193" spans="1:10" x14ac:dyDescent="0.3">
      <c r="A193" t="s">
        <v>725</v>
      </c>
      <c r="B193" t="s">
        <v>145</v>
      </c>
      <c r="C193" t="s">
        <v>726</v>
      </c>
      <c r="D193" t="s">
        <v>727</v>
      </c>
      <c r="E193" t="s">
        <v>216</v>
      </c>
      <c r="F193" s="3" t="s">
        <v>145</v>
      </c>
      <c r="G193" t="s">
        <v>145</v>
      </c>
      <c r="H193" t="s">
        <v>728</v>
      </c>
      <c r="I193" t="s">
        <v>145</v>
      </c>
      <c r="J193" s="11" t="s">
        <v>145</v>
      </c>
    </row>
    <row r="194" spans="1:10" x14ac:dyDescent="0.3">
      <c r="A194" t="s">
        <v>729</v>
      </c>
      <c r="B194" t="s">
        <v>730</v>
      </c>
      <c r="C194" t="s">
        <v>145</v>
      </c>
      <c r="D194" t="s">
        <v>145</v>
      </c>
      <c r="E194" t="s">
        <v>145</v>
      </c>
      <c r="F194" s="3" t="s">
        <v>145</v>
      </c>
      <c r="G194" t="s">
        <v>145</v>
      </c>
      <c r="H194" t="s">
        <v>145</v>
      </c>
      <c r="I194" t="s">
        <v>145</v>
      </c>
      <c r="J194" s="11" t="s">
        <v>145</v>
      </c>
    </row>
    <row r="195" spans="1:10" x14ac:dyDescent="0.3">
      <c r="A195" t="s">
        <v>731</v>
      </c>
      <c r="B195" t="s">
        <v>732</v>
      </c>
      <c r="C195" t="s">
        <v>145</v>
      </c>
      <c r="D195" t="s">
        <v>733</v>
      </c>
      <c r="E195" t="s">
        <v>734</v>
      </c>
      <c r="F195" s="3" t="s">
        <v>735</v>
      </c>
      <c r="G195" t="s">
        <v>736</v>
      </c>
      <c r="H195" t="s">
        <v>145</v>
      </c>
      <c r="I195" t="s">
        <v>145</v>
      </c>
      <c r="J195" s="11" t="s">
        <v>145</v>
      </c>
    </row>
    <row r="196" spans="1:10" x14ac:dyDescent="0.3">
      <c r="A196" t="s">
        <v>883</v>
      </c>
      <c r="B196" t="s">
        <v>235</v>
      </c>
      <c r="C196" t="s">
        <v>145</v>
      </c>
      <c r="D196" t="s">
        <v>733</v>
      </c>
      <c r="E196" t="s">
        <v>884</v>
      </c>
      <c r="F196" s="3" t="s">
        <v>886</v>
      </c>
      <c r="G196" s="4" t="s">
        <v>885</v>
      </c>
      <c r="H196" t="s">
        <v>145</v>
      </c>
      <c r="I196" t="s">
        <v>145</v>
      </c>
      <c r="J196" s="11" t="s">
        <v>145</v>
      </c>
    </row>
    <row r="197" spans="1:10" x14ac:dyDescent="0.3">
      <c r="A197" t="s">
        <v>737</v>
      </c>
      <c r="B197" t="s">
        <v>145</v>
      </c>
      <c r="C197" t="s">
        <v>738</v>
      </c>
      <c r="D197" t="s">
        <v>739</v>
      </c>
      <c r="E197" t="s">
        <v>739</v>
      </c>
      <c r="F197" s="3" t="s">
        <v>740</v>
      </c>
      <c r="G197" t="s">
        <v>741</v>
      </c>
      <c r="H197" t="s">
        <v>145</v>
      </c>
      <c r="I197" t="s">
        <v>145</v>
      </c>
      <c r="J197" s="11" t="s">
        <v>145</v>
      </c>
    </row>
    <row r="198" spans="1:10" x14ac:dyDescent="0.3">
      <c r="A198" t="s">
        <v>742</v>
      </c>
      <c r="B198" t="s">
        <v>145</v>
      </c>
      <c r="C198" t="s">
        <v>743</v>
      </c>
      <c r="D198" t="s">
        <v>145</v>
      </c>
      <c r="E198" t="s">
        <v>744</v>
      </c>
      <c r="F198" s="3" t="s">
        <v>745</v>
      </c>
      <c r="G198" t="s">
        <v>743</v>
      </c>
      <c r="H198" t="s">
        <v>145</v>
      </c>
      <c r="I198" t="s">
        <v>145</v>
      </c>
      <c r="J198" s="11" t="s">
        <v>145</v>
      </c>
    </row>
    <row r="199" spans="1:10" x14ac:dyDescent="0.3">
      <c r="A199" t="s">
        <v>746</v>
      </c>
      <c r="B199" t="s">
        <v>747</v>
      </c>
      <c r="C199" t="s">
        <v>748</v>
      </c>
      <c r="D199" t="s">
        <v>145</v>
      </c>
      <c r="E199" t="s">
        <v>749</v>
      </c>
      <c r="F199" s="3" t="s">
        <v>750</v>
      </c>
      <c r="G199" t="s">
        <v>751</v>
      </c>
      <c r="H199" t="s">
        <v>145</v>
      </c>
      <c r="I199" t="s">
        <v>145</v>
      </c>
      <c r="J199" s="11" t="s">
        <v>145</v>
      </c>
    </row>
    <row r="200" spans="1:10" x14ac:dyDescent="0.3">
      <c r="A200" t="s">
        <v>752</v>
      </c>
      <c r="B200" t="s">
        <v>145</v>
      </c>
      <c r="C200" t="s">
        <v>145</v>
      </c>
      <c r="D200" t="s">
        <v>145</v>
      </c>
      <c r="E200" t="s">
        <v>145</v>
      </c>
      <c r="F200" s="3" t="s">
        <v>145</v>
      </c>
      <c r="G200" t="s">
        <v>145</v>
      </c>
      <c r="H200" t="s">
        <v>145</v>
      </c>
      <c r="I200" t="s">
        <v>145</v>
      </c>
      <c r="J200" s="11" t="s">
        <v>145</v>
      </c>
    </row>
    <row r="201" spans="1:10" x14ac:dyDescent="0.3">
      <c r="A201" t="s">
        <v>753</v>
      </c>
      <c r="B201" t="s">
        <v>754</v>
      </c>
      <c r="C201" t="s">
        <v>145</v>
      </c>
      <c r="D201" t="s">
        <v>145</v>
      </c>
      <c r="E201" t="s">
        <v>755</v>
      </c>
      <c r="F201" s="3" t="s">
        <v>145</v>
      </c>
      <c r="G201" t="s">
        <v>756</v>
      </c>
      <c r="H201" t="s">
        <v>145</v>
      </c>
      <c r="I201" t="s">
        <v>145</v>
      </c>
      <c r="J201" s="11" t="s">
        <v>145</v>
      </c>
    </row>
    <row r="202" spans="1:10" x14ac:dyDescent="0.3">
      <c r="A202" t="s">
        <v>757</v>
      </c>
      <c r="B202" t="s">
        <v>758</v>
      </c>
      <c r="C202" t="s">
        <v>759</v>
      </c>
      <c r="D202" t="s">
        <v>760</v>
      </c>
      <c r="E202" t="s">
        <v>761</v>
      </c>
      <c r="F202" s="3" t="s">
        <v>762</v>
      </c>
      <c r="G202" t="s">
        <v>763</v>
      </c>
      <c r="H202" t="s">
        <v>764</v>
      </c>
      <c r="I202" t="s">
        <v>145</v>
      </c>
      <c r="J202" s="11" t="s">
        <v>145</v>
      </c>
    </row>
    <row r="203" spans="1:10" x14ac:dyDescent="0.3">
      <c r="A203" t="s">
        <v>765</v>
      </c>
      <c r="B203" t="s">
        <v>145</v>
      </c>
      <c r="C203" t="s">
        <v>766</v>
      </c>
      <c r="D203" t="s">
        <v>145</v>
      </c>
      <c r="E203" t="s">
        <v>767</v>
      </c>
      <c r="F203" s="3" t="s">
        <v>768</v>
      </c>
      <c r="G203" t="s">
        <v>769</v>
      </c>
      <c r="H203" t="s">
        <v>145</v>
      </c>
      <c r="I203" t="s">
        <v>145</v>
      </c>
      <c r="J203" s="11" t="s">
        <v>145</v>
      </c>
    </row>
    <row r="204" spans="1:10" x14ac:dyDescent="0.3">
      <c r="A204" t="s">
        <v>908</v>
      </c>
      <c r="B204" t="s">
        <v>145</v>
      </c>
      <c r="C204" t="s">
        <v>145</v>
      </c>
      <c r="D204" t="s">
        <v>145</v>
      </c>
      <c r="E204" t="s">
        <v>145</v>
      </c>
      <c r="F204" s="3" t="s">
        <v>145</v>
      </c>
      <c r="G204" t="s">
        <v>145</v>
      </c>
      <c r="H204" t="s">
        <v>145</v>
      </c>
      <c r="I204" t="s">
        <v>145</v>
      </c>
      <c r="J204" s="11" t="s">
        <v>145</v>
      </c>
    </row>
    <row r="205" spans="1:10" x14ac:dyDescent="0.3">
      <c r="A205" t="s">
        <v>954</v>
      </c>
      <c r="B205" t="s">
        <v>958</v>
      </c>
      <c r="C205" t="s">
        <v>145</v>
      </c>
      <c r="D205" t="s">
        <v>145</v>
      </c>
      <c r="E205" t="s">
        <v>955</v>
      </c>
      <c r="F205" s="3" t="s">
        <v>956</v>
      </c>
      <c r="G205" t="s">
        <v>957</v>
      </c>
      <c r="H205">
        <v>8176053166</v>
      </c>
      <c r="I205" t="s">
        <v>145</v>
      </c>
      <c r="J205" s="11" t="s">
        <v>145</v>
      </c>
    </row>
    <row r="206" spans="1:10" x14ac:dyDescent="0.3">
      <c r="A206" t="s">
        <v>960</v>
      </c>
      <c r="B206" t="s">
        <v>958</v>
      </c>
      <c r="C206" t="s">
        <v>145</v>
      </c>
      <c r="D206" t="s">
        <v>961</v>
      </c>
      <c r="E206" t="s">
        <v>962</v>
      </c>
      <c r="F206" s="3" t="s">
        <v>963</v>
      </c>
      <c r="G206" s="4" t="s">
        <v>964</v>
      </c>
      <c r="H206">
        <v>8176053166</v>
      </c>
      <c r="I206" t="s">
        <v>145</v>
      </c>
      <c r="J206" s="11" t="s">
        <v>145</v>
      </c>
    </row>
    <row r="207" spans="1:10" x14ac:dyDescent="0.3">
      <c r="A207" t="s">
        <v>770</v>
      </c>
      <c r="B207" t="s">
        <v>145</v>
      </c>
      <c r="C207" t="s">
        <v>771</v>
      </c>
      <c r="D207" t="s">
        <v>145</v>
      </c>
      <c r="E207" t="s">
        <v>772</v>
      </c>
      <c r="F207" s="3" t="s">
        <v>773</v>
      </c>
      <c r="G207" t="s">
        <v>774</v>
      </c>
      <c r="H207" t="s">
        <v>145</v>
      </c>
      <c r="I207" t="s">
        <v>145</v>
      </c>
      <c r="J207" s="11" t="s">
        <v>145</v>
      </c>
    </row>
    <row r="208" spans="1:10" x14ac:dyDescent="0.3">
      <c r="A208" t="s">
        <v>775</v>
      </c>
      <c r="B208" t="s">
        <v>145</v>
      </c>
      <c r="C208" t="s">
        <v>776</v>
      </c>
      <c r="D208" t="s">
        <v>145</v>
      </c>
      <c r="E208" t="s">
        <v>777</v>
      </c>
      <c r="F208" s="3" t="s">
        <v>778</v>
      </c>
      <c r="G208" t="s">
        <v>779</v>
      </c>
      <c r="H208" t="s">
        <v>145</v>
      </c>
      <c r="I208" t="s">
        <v>145</v>
      </c>
      <c r="J208" s="11" t="s">
        <v>145</v>
      </c>
    </row>
    <row r="209" spans="1:10" x14ac:dyDescent="0.3">
      <c r="A209" t="s">
        <v>942</v>
      </c>
      <c r="B209" t="s">
        <v>145</v>
      </c>
      <c r="C209" t="s">
        <v>943</v>
      </c>
      <c r="D209" t="s">
        <v>944</v>
      </c>
      <c r="E209" t="s">
        <v>945</v>
      </c>
      <c r="F209" s="3" t="s">
        <v>946</v>
      </c>
      <c r="G209" t="s">
        <v>947</v>
      </c>
      <c r="H209" t="s">
        <v>948</v>
      </c>
      <c r="I209" t="s">
        <v>145</v>
      </c>
      <c r="J209" s="11" t="s">
        <v>145</v>
      </c>
    </row>
    <row r="210" spans="1:10" x14ac:dyDescent="0.3">
      <c r="A210" t="s">
        <v>780</v>
      </c>
      <c r="B210" t="s">
        <v>145</v>
      </c>
      <c r="C210" t="s">
        <v>781</v>
      </c>
      <c r="D210" t="s">
        <v>145</v>
      </c>
      <c r="E210" t="s">
        <v>782</v>
      </c>
      <c r="F210" s="3" t="s">
        <v>783</v>
      </c>
      <c r="G210" t="s">
        <v>784</v>
      </c>
      <c r="H210" t="s">
        <v>145</v>
      </c>
      <c r="I210" t="s">
        <v>145</v>
      </c>
      <c r="J210" s="11" t="s">
        <v>145</v>
      </c>
    </row>
    <row r="211" spans="1:10" x14ac:dyDescent="0.3">
      <c r="A211" t="s">
        <v>785</v>
      </c>
      <c r="B211" t="s">
        <v>145</v>
      </c>
      <c r="C211" t="s">
        <v>786</v>
      </c>
      <c r="D211" t="s">
        <v>787</v>
      </c>
      <c r="E211" t="s">
        <v>788</v>
      </c>
      <c r="F211" s="3" t="s">
        <v>789</v>
      </c>
      <c r="G211" t="s">
        <v>790</v>
      </c>
      <c r="H211" t="s">
        <v>145</v>
      </c>
      <c r="I211" t="s">
        <v>145</v>
      </c>
      <c r="J211" s="11" t="s">
        <v>145</v>
      </c>
    </row>
    <row r="212" spans="1:10" x14ac:dyDescent="0.3">
      <c r="A212" t="s">
        <v>926</v>
      </c>
      <c r="B212" t="s">
        <v>145</v>
      </c>
      <c r="C212" t="s">
        <v>927</v>
      </c>
      <c r="D212" t="s">
        <v>145</v>
      </c>
      <c r="E212" t="s">
        <v>928</v>
      </c>
      <c r="F212" s="3" t="s">
        <v>929</v>
      </c>
      <c r="G212" s="4" t="s">
        <v>927</v>
      </c>
      <c r="H212" t="s">
        <v>145</v>
      </c>
      <c r="I212" t="s">
        <v>145</v>
      </c>
      <c r="J212" s="11" t="s">
        <v>145</v>
      </c>
    </row>
    <row r="213" spans="1:10" x14ac:dyDescent="0.3">
      <c r="A213" t="s">
        <v>791</v>
      </c>
      <c r="B213" t="s">
        <v>145</v>
      </c>
      <c r="C213" t="s">
        <v>145</v>
      </c>
      <c r="D213" t="s">
        <v>145</v>
      </c>
      <c r="E213" t="s">
        <v>145</v>
      </c>
      <c r="F213" s="3" t="s">
        <v>145</v>
      </c>
      <c r="G213" t="s">
        <v>145</v>
      </c>
      <c r="H213" t="s">
        <v>145</v>
      </c>
      <c r="I213" t="s">
        <v>145</v>
      </c>
      <c r="J213" s="11" t="s">
        <v>145</v>
      </c>
    </row>
    <row r="214" spans="1:10" x14ac:dyDescent="0.3">
      <c r="A214" t="s">
        <v>792</v>
      </c>
      <c r="B214" t="s">
        <v>793</v>
      </c>
      <c r="C214" t="s">
        <v>794</v>
      </c>
      <c r="D214" t="s">
        <v>795</v>
      </c>
      <c r="E214" t="s">
        <v>796</v>
      </c>
      <c r="F214" s="3" t="s">
        <v>797</v>
      </c>
      <c r="G214" t="s">
        <v>798</v>
      </c>
      <c r="H214" t="s">
        <v>799</v>
      </c>
      <c r="I214" t="s">
        <v>145</v>
      </c>
      <c r="J214" s="11" t="s">
        <v>145</v>
      </c>
    </row>
    <row r="215" spans="1:10" x14ac:dyDescent="0.3">
      <c r="A215" t="s">
        <v>843</v>
      </c>
      <c r="B215" t="s">
        <v>145</v>
      </c>
      <c r="C215" t="s">
        <v>145</v>
      </c>
      <c r="D215" t="s">
        <v>145</v>
      </c>
      <c r="E215" t="s">
        <v>145</v>
      </c>
      <c r="F215" s="3" t="s">
        <v>145</v>
      </c>
      <c r="G215" t="s">
        <v>145</v>
      </c>
      <c r="H215" t="s">
        <v>145</v>
      </c>
      <c r="I215" t="s">
        <v>145</v>
      </c>
      <c r="J215" s="11" t="s">
        <v>145</v>
      </c>
    </row>
    <row r="216" spans="1:10" x14ac:dyDescent="0.3">
      <c r="A216" t="s">
        <v>800</v>
      </c>
      <c r="B216" t="s">
        <v>352</v>
      </c>
      <c r="C216" t="s">
        <v>145</v>
      </c>
      <c r="D216" t="s">
        <v>479</v>
      </c>
      <c r="E216" t="s">
        <v>519</v>
      </c>
      <c r="F216" s="3" t="s">
        <v>145</v>
      </c>
      <c r="G216" t="s">
        <v>520</v>
      </c>
      <c r="H216" t="s">
        <v>145</v>
      </c>
      <c r="I216" t="s">
        <v>145</v>
      </c>
      <c r="J216" s="11" t="s">
        <v>145</v>
      </c>
    </row>
    <row r="217" spans="1:10" x14ac:dyDescent="0.3">
      <c r="A217" t="s">
        <v>801</v>
      </c>
      <c r="B217" t="s">
        <v>802</v>
      </c>
      <c r="C217" t="s">
        <v>145</v>
      </c>
      <c r="D217" t="s">
        <v>145</v>
      </c>
      <c r="E217" t="s">
        <v>803</v>
      </c>
      <c r="F217" s="3" t="s">
        <v>804</v>
      </c>
      <c r="G217" t="s">
        <v>805</v>
      </c>
      <c r="H217" t="s">
        <v>806</v>
      </c>
      <c r="I217" t="s">
        <v>145</v>
      </c>
      <c r="J217" s="11" t="s">
        <v>145</v>
      </c>
    </row>
    <row r="218" spans="1:10" x14ac:dyDescent="0.3">
      <c r="A218" t="s">
        <v>807</v>
      </c>
      <c r="B218" t="s">
        <v>808</v>
      </c>
      <c r="C218" t="s">
        <v>145</v>
      </c>
      <c r="D218">
        <v>2007</v>
      </c>
      <c r="E218" t="s">
        <v>809</v>
      </c>
      <c r="F218" s="3" t="s">
        <v>810</v>
      </c>
      <c r="G218" t="s">
        <v>811</v>
      </c>
      <c r="H218" t="s">
        <v>145</v>
      </c>
      <c r="I218" t="s">
        <v>145</v>
      </c>
      <c r="J218" s="11" t="s">
        <v>145</v>
      </c>
    </row>
    <row r="219" spans="1:10" x14ac:dyDescent="0.3">
      <c r="A219" t="s">
        <v>812</v>
      </c>
      <c r="B219" t="s">
        <v>813</v>
      </c>
      <c r="C219" t="s">
        <v>145</v>
      </c>
      <c r="D219" t="s">
        <v>145</v>
      </c>
      <c r="E219" t="s">
        <v>814</v>
      </c>
      <c r="F219" s="3" t="s">
        <v>145</v>
      </c>
      <c r="G219" t="s">
        <v>145</v>
      </c>
      <c r="H219" t="s">
        <v>145</v>
      </c>
      <c r="I219" t="s">
        <v>145</v>
      </c>
      <c r="J219" s="11" t="s">
        <v>145</v>
      </c>
    </row>
    <row r="220" spans="1:10" x14ac:dyDescent="0.3">
      <c r="A220" t="s">
        <v>815</v>
      </c>
      <c r="B220" t="s">
        <v>145</v>
      </c>
      <c r="C220" t="s">
        <v>145</v>
      </c>
      <c r="D220" t="s">
        <v>145</v>
      </c>
      <c r="E220" t="s">
        <v>145</v>
      </c>
      <c r="F220" s="3" t="s">
        <v>145</v>
      </c>
      <c r="G220" t="s">
        <v>145</v>
      </c>
      <c r="H220" t="s">
        <v>145</v>
      </c>
      <c r="I220" t="s">
        <v>145</v>
      </c>
      <c r="J220" s="11" t="s">
        <v>145</v>
      </c>
    </row>
    <row r="221" spans="1:10" x14ac:dyDescent="0.3">
      <c r="A221" t="s">
        <v>816</v>
      </c>
      <c r="B221" t="s">
        <v>145</v>
      </c>
      <c r="C221" t="s">
        <v>145</v>
      </c>
      <c r="D221" t="s">
        <v>145</v>
      </c>
      <c r="E221" t="s">
        <v>817</v>
      </c>
      <c r="F221" s="3" t="s">
        <v>145</v>
      </c>
      <c r="G221" t="s">
        <v>145</v>
      </c>
      <c r="H221" t="s">
        <v>145</v>
      </c>
      <c r="I221" t="s">
        <v>145</v>
      </c>
      <c r="J221" s="11" t="s">
        <v>145</v>
      </c>
    </row>
    <row r="222" spans="1:10" x14ac:dyDescent="0.3">
      <c r="A222" t="s">
        <v>818</v>
      </c>
      <c r="B222" t="s">
        <v>145</v>
      </c>
      <c r="C222" t="s">
        <v>145</v>
      </c>
      <c r="D222" t="s">
        <v>145</v>
      </c>
      <c r="E222" t="s">
        <v>819</v>
      </c>
      <c r="F222" s="3" t="s">
        <v>820</v>
      </c>
      <c r="G222" t="s">
        <v>821</v>
      </c>
      <c r="H222" t="s">
        <v>145</v>
      </c>
      <c r="I222" t="s">
        <v>145</v>
      </c>
      <c r="J222" s="11" t="s">
        <v>145</v>
      </c>
    </row>
    <row r="223" spans="1:10" x14ac:dyDescent="0.3">
      <c r="B223" t="s">
        <v>145</v>
      </c>
      <c r="C223" t="s">
        <v>145</v>
      </c>
      <c r="D223" t="s">
        <v>145</v>
      </c>
      <c r="E223" t="s">
        <v>145</v>
      </c>
      <c r="F223" s="3" t="s">
        <v>145</v>
      </c>
      <c r="G223" t="s">
        <v>145</v>
      </c>
      <c r="H223" t="s">
        <v>145</v>
      </c>
      <c r="I223" t="s">
        <v>145</v>
      </c>
      <c r="J223" s="11" t="s">
        <v>145</v>
      </c>
    </row>
    <row r="224" spans="1:10" x14ac:dyDescent="0.3">
      <c r="B224" t="s">
        <v>145</v>
      </c>
      <c r="C224" t="s">
        <v>145</v>
      </c>
      <c r="D224" t="s">
        <v>145</v>
      </c>
      <c r="E224" t="s">
        <v>145</v>
      </c>
      <c r="F224" s="3" t="s">
        <v>145</v>
      </c>
      <c r="G224" t="s">
        <v>145</v>
      </c>
      <c r="H224" t="s">
        <v>145</v>
      </c>
      <c r="I224" t="s">
        <v>145</v>
      </c>
      <c r="J224" s="11" t="s">
        <v>145</v>
      </c>
    </row>
    <row r="225" spans="2:10" x14ac:dyDescent="0.3">
      <c r="B225" t="s">
        <v>145</v>
      </c>
      <c r="C225" t="s">
        <v>145</v>
      </c>
      <c r="D225" t="s">
        <v>145</v>
      </c>
      <c r="E225" t="s">
        <v>145</v>
      </c>
      <c r="F225" s="3" t="s">
        <v>145</v>
      </c>
      <c r="G225" t="s">
        <v>145</v>
      </c>
      <c r="H225" t="s">
        <v>145</v>
      </c>
      <c r="I225" t="s">
        <v>145</v>
      </c>
      <c r="J225" s="11" t="s">
        <v>145</v>
      </c>
    </row>
    <row r="226" spans="2:10" x14ac:dyDescent="0.3">
      <c r="B226" t="s">
        <v>145</v>
      </c>
      <c r="C226" t="s">
        <v>145</v>
      </c>
      <c r="D226" t="s">
        <v>145</v>
      </c>
      <c r="E226" t="s">
        <v>145</v>
      </c>
      <c r="F226" s="3" t="s">
        <v>145</v>
      </c>
      <c r="G226" t="s">
        <v>145</v>
      </c>
      <c r="H226" t="s">
        <v>145</v>
      </c>
      <c r="I226" t="s">
        <v>145</v>
      </c>
      <c r="J226" s="11" t="s">
        <v>145</v>
      </c>
    </row>
    <row r="227" spans="2:10" x14ac:dyDescent="0.3">
      <c r="B227" t="s">
        <v>145</v>
      </c>
      <c r="C227" t="s">
        <v>145</v>
      </c>
      <c r="D227" t="s">
        <v>145</v>
      </c>
      <c r="E227" t="s">
        <v>145</v>
      </c>
      <c r="F227" s="3" t="s">
        <v>145</v>
      </c>
      <c r="G227" t="s">
        <v>145</v>
      </c>
      <c r="H227" t="s">
        <v>145</v>
      </c>
      <c r="I227" t="s">
        <v>145</v>
      </c>
      <c r="J227" s="11" t="s">
        <v>145</v>
      </c>
    </row>
    <row r="228" spans="2:10" x14ac:dyDescent="0.3">
      <c r="B228" t="s">
        <v>145</v>
      </c>
      <c r="C228" t="s">
        <v>145</v>
      </c>
      <c r="D228" t="s">
        <v>145</v>
      </c>
      <c r="E228" t="s">
        <v>145</v>
      </c>
      <c r="F228" s="3" t="s">
        <v>145</v>
      </c>
      <c r="G228" t="s">
        <v>145</v>
      </c>
      <c r="H228" t="s">
        <v>145</v>
      </c>
      <c r="I228" t="s">
        <v>145</v>
      </c>
      <c r="J228" s="11" t="s">
        <v>145</v>
      </c>
    </row>
    <row r="229" spans="2:10" x14ac:dyDescent="0.3">
      <c r="B229" t="s">
        <v>145</v>
      </c>
      <c r="C229" t="s">
        <v>145</v>
      </c>
      <c r="D229" t="s">
        <v>145</v>
      </c>
      <c r="E229" t="s">
        <v>145</v>
      </c>
      <c r="F229" s="3" t="s">
        <v>145</v>
      </c>
      <c r="G229" t="s">
        <v>145</v>
      </c>
      <c r="H229" t="s">
        <v>145</v>
      </c>
      <c r="I229" t="s">
        <v>145</v>
      </c>
      <c r="J229" s="11" t="s">
        <v>145</v>
      </c>
    </row>
    <row r="230" spans="2:10" x14ac:dyDescent="0.3">
      <c r="B230" t="s">
        <v>145</v>
      </c>
      <c r="C230" t="s">
        <v>145</v>
      </c>
      <c r="D230" t="s">
        <v>145</v>
      </c>
      <c r="E230" t="s">
        <v>145</v>
      </c>
      <c r="F230" s="3" t="s">
        <v>145</v>
      </c>
      <c r="G230" t="s">
        <v>145</v>
      </c>
      <c r="H230" t="s">
        <v>145</v>
      </c>
      <c r="I230" t="s">
        <v>145</v>
      </c>
      <c r="J230" s="11" t="s">
        <v>145</v>
      </c>
    </row>
    <row r="231" spans="2:10" x14ac:dyDescent="0.3">
      <c r="B231" t="s">
        <v>145</v>
      </c>
      <c r="C231" t="s">
        <v>145</v>
      </c>
      <c r="D231" t="s">
        <v>145</v>
      </c>
      <c r="E231" t="s">
        <v>145</v>
      </c>
      <c r="F231" s="3" t="s">
        <v>145</v>
      </c>
      <c r="G231" t="s">
        <v>145</v>
      </c>
      <c r="H231" t="s">
        <v>145</v>
      </c>
      <c r="I231" t="s">
        <v>145</v>
      </c>
      <c r="J231" s="11" t="s">
        <v>145</v>
      </c>
    </row>
    <row r="232" spans="2:10" x14ac:dyDescent="0.3">
      <c r="B232" t="s">
        <v>145</v>
      </c>
      <c r="C232" t="s">
        <v>145</v>
      </c>
      <c r="D232" t="s">
        <v>145</v>
      </c>
      <c r="E232" t="s">
        <v>145</v>
      </c>
      <c r="F232" s="3" t="s">
        <v>145</v>
      </c>
      <c r="G232" t="s">
        <v>145</v>
      </c>
      <c r="H232" t="s">
        <v>145</v>
      </c>
      <c r="I232" t="s">
        <v>145</v>
      </c>
      <c r="J232" s="11" t="s">
        <v>145</v>
      </c>
    </row>
    <row r="233" spans="2:10" x14ac:dyDescent="0.3">
      <c r="B233" t="s">
        <v>145</v>
      </c>
      <c r="C233" t="s">
        <v>145</v>
      </c>
      <c r="D233" t="s">
        <v>145</v>
      </c>
      <c r="E233" t="s">
        <v>145</v>
      </c>
      <c r="F233" s="3" t="s">
        <v>145</v>
      </c>
      <c r="G233" t="s">
        <v>145</v>
      </c>
      <c r="H233" t="s">
        <v>145</v>
      </c>
      <c r="I233" t="s">
        <v>145</v>
      </c>
      <c r="J233" s="11" t="s">
        <v>145</v>
      </c>
    </row>
    <row r="234" spans="2:10" x14ac:dyDescent="0.3">
      <c r="B234" t="s">
        <v>145</v>
      </c>
      <c r="C234" t="s">
        <v>145</v>
      </c>
      <c r="D234" t="s">
        <v>145</v>
      </c>
      <c r="E234" t="s">
        <v>145</v>
      </c>
      <c r="F234" s="3" t="s">
        <v>145</v>
      </c>
      <c r="G234" t="s">
        <v>145</v>
      </c>
      <c r="H234" t="s">
        <v>145</v>
      </c>
      <c r="I234" t="s">
        <v>145</v>
      </c>
      <c r="J234" s="11" t="s">
        <v>145</v>
      </c>
    </row>
    <row r="235" spans="2:10" x14ac:dyDescent="0.3">
      <c r="B235" t="s">
        <v>145</v>
      </c>
      <c r="C235" t="s">
        <v>145</v>
      </c>
      <c r="D235" t="s">
        <v>145</v>
      </c>
      <c r="E235" t="s">
        <v>145</v>
      </c>
      <c r="F235" s="3" t="s">
        <v>145</v>
      </c>
      <c r="G235" t="s">
        <v>145</v>
      </c>
      <c r="H235" t="s">
        <v>145</v>
      </c>
      <c r="I235" t="s">
        <v>145</v>
      </c>
      <c r="J235" s="11" t="s">
        <v>145</v>
      </c>
    </row>
    <row r="236" spans="2:10" x14ac:dyDescent="0.3">
      <c r="B236" t="s">
        <v>145</v>
      </c>
      <c r="C236" t="s">
        <v>145</v>
      </c>
      <c r="D236" t="s">
        <v>145</v>
      </c>
      <c r="E236" t="s">
        <v>145</v>
      </c>
      <c r="F236" s="3" t="s">
        <v>145</v>
      </c>
      <c r="G236" t="s">
        <v>145</v>
      </c>
      <c r="H236" t="s">
        <v>145</v>
      </c>
      <c r="I236" t="s">
        <v>145</v>
      </c>
      <c r="J236" s="11" t="s">
        <v>145</v>
      </c>
    </row>
    <row r="237" spans="2:10" x14ac:dyDescent="0.3">
      <c r="B237" t="s">
        <v>145</v>
      </c>
      <c r="C237" t="s">
        <v>145</v>
      </c>
      <c r="D237" t="s">
        <v>145</v>
      </c>
      <c r="E237" t="s">
        <v>145</v>
      </c>
      <c r="F237" s="3" t="s">
        <v>145</v>
      </c>
      <c r="G237" t="s">
        <v>145</v>
      </c>
      <c r="H237" t="s">
        <v>145</v>
      </c>
      <c r="I237" t="s">
        <v>145</v>
      </c>
      <c r="J237" s="11" t="s">
        <v>145</v>
      </c>
    </row>
    <row r="238" spans="2:10" x14ac:dyDescent="0.3">
      <c r="B238" t="s">
        <v>145</v>
      </c>
      <c r="C238" t="s">
        <v>145</v>
      </c>
      <c r="D238" t="s">
        <v>145</v>
      </c>
      <c r="E238" t="s">
        <v>145</v>
      </c>
      <c r="F238" s="3" t="s">
        <v>145</v>
      </c>
      <c r="G238" t="s">
        <v>145</v>
      </c>
      <c r="H238" t="s">
        <v>145</v>
      </c>
      <c r="I238" t="s">
        <v>145</v>
      </c>
      <c r="J238" s="11" t="s">
        <v>145</v>
      </c>
    </row>
    <row r="239" spans="2:10" x14ac:dyDescent="0.3">
      <c r="B239" t="s">
        <v>145</v>
      </c>
      <c r="C239" t="s">
        <v>145</v>
      </c>
      <c r="D239" t="s">
        <v>145</v>
      </c>
      <c r="E239" t="s">
        <v>145</v>
      </c>
      <c r="F239" s="3" t="s">
        <v>145</v>
      </c>
      <c r="G239" t="s">
        <v>145</v>
      </c>
      <c r="H239" t="s">
        <v>145</v>
      </c>
      <c r="I239" t="s">
        <v>145</v>
      </c>
      <c r="J239" s="11" t="s">
        <v>145</v>
      </c>
    </row>
    <row r="240" spans="2:10" x14ac:dyDescent="0.3">
      <c r="B240" t="s">
        <v>145</v>
      </c>
      <c r="C240" t="s">
        <v>145</v>
      </c>
      <c r="D240" t="s">
        <v>145</v>
      </c>
      <c r="E240" t="s">
        <v>145</v>
      </c>
      <c r="F240" s="3" t="s">
        <v>145</v>
      </c>
      <c r="G240" t="s">
        <v>145</v>
      </c>
      <c r="H240" t="s">
        <v>145</v>
      </c>
      <c r="I240" t="s">
        <v>145</v>
      </c>
      <c r="J240" s="11" t="s">
        <v>145</v>
      </c>
    </row>
    <row r="241" spans="2:10" x14ac:dyDescent="0.3">
      <c r="B241" t="s">
        <v>145</v>
      </c>
      <c r="C241" t="s">
        <v>145</v>
      </c>
      <c r="D241" t="s">
        <v>145</v>
      </c>
      <c r="E241" t="s">
        <v>145</v>
      </c>
      <c r="F241" s="3" t="s">
        <v>145</v>
      </c>
      <c r="G241" t="s">
        <v>145</v>
      </c>
      <c r="H241" t="s">
        <v>145</v>
      </c>
      <c r="I241" t="s">
        <v>145</v>
      </c>
      <c r="J241" s="11" t="s">
        <v>145</v>
      </c>
    </row>
    <row r="242" spans="2:10" x14ac:dyDescent="0.3">
      <c r="B242" t="s">
        <v>145</v>
      </c>
      <c r="C242" t="s">
        <v>145</v>
      </c>
      <c r="D242" t="s">
        <v>145</v>
      </c>
      <c r="E242" t="s">
        <v>145</v>
      </c>
      <c r="F242" s="3" t="s">
        <v>145</v>
      </c>
      <c r="G242" t="s">
        <v>145</v>
      </c>
      <c r="H242" t="s">
        <v>145</v>
      </c>
      <c r="I242" t="s">
        <v>145</v>
      </c>
      <c r="J242" s="11" t="s">
        <v>145</v>
      </c>
    </row>
    <row r="243" spans="2:10" x14ac:dyDescent="0.3">
      <c r="B243" t="s">
        <v>145</v>
      </c>
      <c r="C243" t="s">
        <v>145</v>
      </c>
      <c r="D243" t="s">
        <v>145</v>
      </c>
      <c r="E243" t="s">
        <v>145</v>
      </c>
      <c r="F243" s="3" t="s">
        <v>145</v>
      </c>
      <c r="G243" t="s">
        <v>145</v>
      </c>
      <c r="H243" t="s">
        <v>145</v>
      </c>
      <c r="I243" t="s">
        <v>145</v>
      </c>
      <c r="J243" s="11" t="s">
        <v>145</v>
      </c>
    </row>
    <row r="244" spans="2:10" x14ac:dyDescent="0.3">
      <c r="B244" t="s">
        <v>145</v>
      </c>
      <c r="C244" t="s">
        <v>145</v>
      </c>
      <c r="D244" t="s">
        <v>145</v>
      </c>
      <c r="E244" t="s">
        <v>145</v>
      </c>
      <c r="F244" s="3" t="s">
        <v>145</v>
      </c>
      <c r="G244" t="s">
        <v>145</v>
      </c>
      <c r="H244" t="s">
        <v>145</v>
      </c>
      <c r="I244" t="s">
        <v>145</v>
      </c>
      <c r="J244" s="11" t="s">
        <v>145</v>
      </c>
    </row>
    <row r="245" spans="2:10" x14ac:dyDescent="0.3">
      <c r="B245" t="s">
        <v>145</v>
      </c>
      <c r="C245" t="s">
        <v>145</v>
      </c>
      <c r="D245" t="s">
        <v>145</v>
      </c>
      <c r="E245" t="s">
        <v>145</v>
      </c>
      <c r="F245" s="3" t="s">
        <v>145</v>
      </c>
      <c r="G245" t="s">
        <v>145</v>
      </c>
      <c r="H245" t="s">
        <v>145</v>
      </c>
      <c r="I245" t="s">
        <v>145</v>
      </c>
      <c r="J245" s="11" t="s">
        <v>145</v>
      </c>
    </row>
    <row r="246" spans="2:10" x14ac:dyDescent="0.3">
      <c r="B246" t="s">
        <v>145</v>
      </c>
      <c r="C246" t="s">
        <v>145</v>
      </c>
      <c r="D246" t="s">
        <v>145</v>
      </c>
      <c r="E246" t="s">
        <v>145</v>
      </c>
      <c r="F246" s="3" t="s">
        <v>145</v>
      </c>
      <c r="G246" t="s">
        <v>145</v>
      </c>
      <c r="H246" t="s">
        <v>145</v>
      </c>
      <c r="I246" t="s">
        <v>145</v>
      </c>
      <c r="J246" s="11" t="s">
        <v>145</v>
      </c>
    </row>
    <row r="247" spans="2:10" x14ac:dyDescent="0.3">
      <c r="B247" t="s">
        <v>145</v>
      </c>
      <c r="C247" t="s">
        <v>145</v>
      </c>
      <c r="D247" t="s">
        <v>145</v>
      </c>
      <c r="E247" t="s">
        <v>145</v>
      </c>
      <c r="F247" s="3" t="s">
        <v>145</v>
      </c>
      <c r="G247" t="s">
        <v>145</v>
      </c>
      <c r="H247" t="s">
        <v>145</v>
      </c>
      <c r="I247" t="s">
        <v>145</v>
      </c>
      <c r="J247" s="11" t="s">
        <v>145</v>
      </c>
    </row>
    <row r="248" spans="2:10" x14ac:dyDescent="0.3">
      <c r="B248" t="s">
        <v>145</v>
      </c>
      <c r="C248" t="s">
        <v>145</v>
      </c>
      <c r="D248" t="s">
        <v>145</v>
      </c>
      <c r="E248" t="s">
        <v>145</v>
      </c>
      <c r="F248" s="3" t="s">
        <v>145</v>
      </c>
      <c r="G248" t="s">
        <v>145</v>
      </c>
      <c r="H248" t="s">
        <v>145</v>
      </c>
      <c r="I248" t="s">
        <v>145</v>
      </c>
      <c r="J248" s="11" t="s">
        <v>145</v>
      </c>
    </row>
    <row r="249" spans="2:10" x14ac:dyDescent="0.3">
      <c r="B249" t="s">
        <v>145</v>
      </c>
      <c r="C249" t="s">
        <v>145</v>
      </c>
      <c r="D249" t="s">
        <v>145</v>
      </c>
      <c r="E249" t="s">
        <v>145</v>
      </c>
      <c r="F249" s="3" t="s">
        <v>145</v>
      </c>
      <c r="G249" t="s">
        <v>145</v>
      </c>
      <c r="H249" t="s">
        <v>145</v>
      </c>
      <c r="I249" t="s">
        <v>145</v>
      </c>
      <c r="J249" s="11" t="s">
        <v>145</v>
      </c>
    </row>
    <row r="250" spans="2:10" x14ac:dyDescent="0.3">
      <c r="B250" t="s">
        <v>145</v>
      </c>
      <c r="C250" t="s">
        <v>145</v>
      </c>
      <c r="D250" t="s">
        <v>145</v>
      </c>
      <c r="E250" t="s">
        <v>145</v>
      </c>
      <c r="F250" s="3" t="s">
        <v>145</v>
      </c>
      <c r="G250" t="s">
        <v>145</v>
      </c>
      <c r="H250" t="s">
        <v>145</v>
      </c>
      <c r="I250" t="s">
        <v>145</v>
      </c>
      <c r="J250" s="11" t="s">
        <v>145</v>
      </c>
    </row>
    <row r="251" spans="2:10" x14ac:dyDescent="0.3">
      <c r="B251" t="s">
        <v>145</v>
      </c>
      <c r="C251" t="s">
        <v>145</v>
      </c>
      <c r="D251" t="s">
        <v>145</v>
      </c>
      <c r="E251" t="s">
        <v>145</v>
      </c>
      <c r="F251" s="3" t="s">
        <v>145</v>
      </c>
      <c r="G251" t="s">
        <v>145</v>
      </c>
      <c r="H251" t="s">
        <v>145</v>
      </c>
      <c r="I251" t="s">
        <v>145</v>
      </c>
      <c r="J251" s="11" t="s">
        <v>145</v>
      </c>
    </row>
    <row r="252" spans="2:10" x14ac:dyDescent="0.3">
      <c r="B252" t="s">
        <v>145</v>
      </c>
      <c r="C252" t="s">
        <v>145</v>
      </c>
      <c r="D252" t="s">
        <v>145</v>
      </c>
      <c r="E252" t="s">
        <v>145</v>
      </c>
      <c r="F252" s="3" t="s">
        <v>145</v>
      </c>
      <c r="G252" t="s">
        <v>145</v>
      </c>
      <c r="H252" t="s">
        <v>145</v>
      </c>
      <c r="I252" t="s">
        <v>145</v>
      </c>
      <c r="J252" s="11" t="s">
        <v>145</v>
      </c>
    </row>
    <row r="253" spans="2:10" x14ac:dyDescent="0.3">
      <c r="B253" t="s">
        <v>145</v>
      </c>
      <c r="C253" t="s">
        <v>145</v>
      </c>
      <c r="D253" t="s">
        <v>145</v>
      </c>
      <c r="E253" t="s">
        <v>145</v>
      </c>
      <c r="F253" s="3" t="s">
        <v>145</v>
      </c>
      <c r="G253" t="s">
        <v>145</v>
      </c>
      <c r="H253" t="s">
        <v>145</v>
      </c>
      <c r="I253" t="s">
        <v>145</v>
      </c>
      <c r="J253" s="11" t="s">
        <v>145</v>
      </c>
    </row>
    <row r="254" spans="2:10" x14ac:dyDescent="0.3">
      <c r="B254" t="s">
        <v>145</v>
      </c>
      <c r="C254" t="s">
        <v>145</v>
      </c>
      <c r="D254" t="s">
        <v>145</v>
      </c>
      <c r="E254" t="s">
        <v>145</v>
      </c>
      <c r="F254" s="3" t="s">
        <v>145</v>
      </c>
      <c r="G254" t="s">
        <v>145</v>
      </c>
      <c r="H254" t="s">
        <v>145</v>
      </c>
      <c r="I254" t="s">
        <v>145</v>
      </c>
      <c r="J254" s="11" t="s">
        <v>145</v>
      </c>
    </row>
    <row r="255" spans="2:10" x14ac:dyDescent="0.3">
      <c r="B255" t="s">
        <v>145</v>
      </c>
      <c r="C255" t="s">
        <v>145</v>
      </c>
      <c r="D255" t="s">
        <v>145</v>
      </c>
      <c r="E255" t="s">
        <v>145</v>
      </c>
      <c r="F255" s="3" t="s">
        <v>145</v>
      </c>
      <c r="G255" t="s">
        <v>145</v>
      </c>
      <c r="H255" t="s">
        <v>145</v>
      </c>
      <c r="I255" t="s">
        <v>145</v>
      </c>
      <c r="J255" s="11" t="s">
        <v>145</v>
      </c>
    </row>
    <row r="256" spans="2:10" x14ac:dyDescent="0.3">
      <c r="B256" t="s">
        <v>145</v>
      </c>
      <c r="C256" t="s">
        <v>145</v>
      </c>
      <c r="D256" t="s">
        <v>145</v>
      </c>
      <c r="E256" t="s">
        <v>145</v>
      </c>
      <c r="F256" s="3" t="s">
        <v>145</v>
      </c>
      <c r="G256" t="s">
        <v>145</v>
      </c>
      <c r="H256" t="s">
        <v>145</v>
      </c>
      <c r="I256" t="s">
        <v>145</v>
      </c>
      <c r="J256" s="11" t="s">
        <v>145</v>
      </c>
    </row>
    <row r="257" spans="2:10" x14ac:dyDescent="0.3">
      <c r="B257" t="s">
        <v>145</v>
      </c>
      <c r="C257" t="s">
        <v>145</v>
      </c>
      <c r="D257" t="s">
        <v>145</v>
      </c>
      <c r="E257" t="s">
        <v>145</v>
      </c>
      <c r="F257" s="3" t="s">
        <v>145</v>
      </c>
      <c r="G257" t="s">
        <v>145</v>
      </c>
      <c r="H257" t="s">
        <v>145</v>
      </c>
      <c r="I257" t="s">
        <v>145</v>
      </c>
      <c r="J257" s="11" t="s">
        <v>145</v>
      </c>
    </row>
    <row r="258" spans="2:10" x14ac:dyDescent="0.3">
      <c r="B258" t="s">
        <v>145</v>
      </c>
      <c r="C258" t="s">
        <v>145</v>
      </c>
      <c r="D258" t="s">
        <v>145</v>
      </c>
      <c r="E258" t="s">
        <v>145</v>
      </c>
      <c r="F258" s="3" t="s">
        <v>145</v>
      </c>
      <c r="G258" t="s">
        <v>145</v>
      </c>
      <c r="H258" t="s">
        <v>145</v>
      </c>
      <c r="I258" t="s">
        <v>145</v>
      </c>
      <c r="J258" s="11" t="s">
        <v>145</v>
      </c>
    </row>
    <row r="259" spans="2:10" x14ac:dyDescent="0.3">
      <c r="B259" t="s">
        <v>145</v>
      </c>
      <c r="C259" t="s">
        <v>145</v>
      </c>
      <c r="D259" t="s">
        <v>145</v>
      </c>
      <c r="E259" t="s">
        <v>145</v>
      </c>
      <c r="F259" s="3" t="s">
        <v>145</v>
      </c>
      <c r="G259" t="s">
        <v>145</v>
      </c>
      <c r="H259" t="s">
        <v>145</v>
      </c>
      <c r="I259" t="s">
        <v>145</v>
      </c>
      <c r="J259" s="11" t="s">
        <v>145</v>
      </c>
    </row>
    <row r="260" spans="2:10" x14ac:dyDescent="0.3">
      <c r="B260" t="s">
        <v>145</v>
      </c>
      <c r="C260" t="s">
        <v>145</v>
      </c>
      <c r="D260" t="s">
        <v>145</v>
      </c>
      <c r="E260" t="s">
        <v>145</v>
      </c>
      <c r="F260" s="3" t="s">
        <v>145</v>
      </c>
      <c r="G260" t="s">
        <v>145</v>
      </c>
      <c r="H260" t="s">
        <v>145</v>
      </c>
      <c r="I260" t="s">
        <v>145</v>
      </c>
      <c r="J260" s="11" t="s">
        <v>145</v>
      </c>
    </row>
    <row r="261" spans="2:10" x14ac:dyDescent="0.3">
      <c r="B261" t="s">
        <v>145</v>
      </c>
      <c r="C261" t="s">
        <v>145</v>
      </c>
      <c r="D261" t="s">
        <v>145</v>
      </c>
      <c r="E261" t="s">
        <v>145</v>
      </c>
      <c r="F261" s="3" t="s">
        <v>145</v>
      </c>
      <c r="G261" t="s">
        <v>145</v>
      </c>
      <c r="H261" t="s">
        <v>145</v>
      </c>
      <c r="I261" t="s">
        <v>145</v>
      </c>
      <c r="J261" s="11" t="s">
        <v>145</v>
      </c>
    </row>
    <row r="262" spans="2:10" x14ac:dyDescent="0.3">
      <c r="B262" t="s">
        <v>145</v>
      </c>
      <c r="C262" t="s">
        <v>145</v>
      </c>
      <c r="D262" t="s">
        <v>145</v>
      </c>
      <c r="E262" t="s">
        <v>145</v>
      </c>
      <c r="F262" s="3" t="s">
        <v>145</v>
      </c>
      <c r="G262" t="s">
        <v>145</v>
      </c>
      <c r="H262" t="s">
        <v>145</v>
      </c>
      <c r="I262" t="s">
        <v>145</v>
      </c>
      <c r="J262" s="11" t="s">
        <v>145</v>
      </c>
    </row>
    <row r="263" spans="2:10" x14ac:dyDescent="0.3">
      <c r="B263" t="s">
        <v>145</v>
      </c>
      <c r="C263" t="s">
        <v>145</v>
      </c>
      <c r="D263" t="s">
        <v>145</v>
      </c>
      <c r="E263" t="s">
        <v>145</v>
      </c>
      <c r="F263" s="3" t="s">
        <v>145</v>
      </c>
      <c r="G263" t="s">
        <v>145</v>
      </c>
      <c r="H263" t="s">
        <v>145</v>
      </c>
      <c r="I263" t="s">
        <v>145</v>
      </c>
      <c r="J263" s="11" t="s">
        <v>145</v>
      </c>
    </row>
    <row r="264" spans="2:10" x14ac:dyDescent="0.3">
      <c r="B264" t="s">
        <v>145</v>
      </c>
      <c r="C264" t="s">
        <v>145</v>
      </c>
      <c r="D264" t="s">
        <v>145</v>
      </c>
      <c r="E264" t="s">
        <v>145</v>
      </c>
      <c r="F264" s="3" t="s">
        <v>145</v>
      </c>
      <c r="G264" t="s">
        <v>145</v>
      </c>
      <c r="H264" t="s">
        <v>145</v>
      </c>
      <c r="I264" t="s">
        <v>145</v>
      </c>
      <c r="J264" s="11" t="s">
        <v>145</v>
      </c>
    </row>
    <row r="265" spans="2:10" x14ac:dyDescent="0.3">
      <c r="B265" t="s">
        <v>145</v>
      </c>
      <c r="C265" t="s">
        <v>145</v>
      </c>
      <c r="D265" t="s">
        <v>145</v>
      </c>
      <c r="E265" t="s">
        <v>145</v>
      </c>
      <c r="F265" s="3" t="s">
        <v>145</v>
      </c>
      <c r="G265" t="s">
        <v>145</v>
      </c>
      <c r="H265" t="s">
        <v>145</v>
      </c>
      <c r="I265" t="s">
        <v>145</v>
      </c>
      <c r="J265" s="11" t="s">
        <v>145</v>
      </c>
    </row>
    <row r="266" spans="2:10" x14ac:dyDescent="0.3">
      <c r="B266" t="s">
        <v>145</v>
      </c>
      <c r="C266" t="s">
        <v>145</v>
      </c>
      <c r="D266" t="s">
        <v>145</v>
      </c>
      <c r="E266" t="s">
        <v>145</v>
      </c>
      <c r="F266" s="3" t="s">
        <v>145</v>
      </c>
      <c r="G266" t="s">
        <v>145</v>
      </c>
      <c r="H266" t="s">
        <v>145</v>
      </c>
      <c r="I266" t="s">
        <v>145</v>
      </c>
      <c r="J266" s="11" t="s">
        <v>145</v>
      </c>
    </row>
    <row r="267" spans="2:10" x14ac:dyDescent="0.3">
      <c r="B267" t="s">
        <v>145</v>
      </c>
      <c r="C267" t="s">
        <v>145</v>
      </c>
      <c r="D267" t="s">
        <v>145</v>
      </c>
      <c r="E267" t="s">
        <v>145</v>
      </c>
      <c r="F267" s="3" t="s">
        <v>145</v>
      </c>
      <c r="G267" t="s">
        <v>145</v>
      </c>
      <c r="H267" t="s">
        <v>145</v>
      </c>
      <c r="I267" t="s">
        <v>145</v>
      </c>
      <c r="J267" s="11" t="s">
        <v>145</v>
      </c>
    </row>
    <row r="268" spans="2:10" x14ac:dyDescent="0.3">
      <c r="B268" t="s">
        <v>145</v>
      </c>
      <c r="C268" t="s">
        <v>145</v>
      </c>
      <c r="D268" t="s">
        <v>145</v>
      </c>
      <c r="E268" t="s">
        <v>145</v>
      </c>
      <c r="F268" s="3" t="s">
        <v>145</v>
      </c>
      <c r="G268" t="s">
        <v>145</v>
      </c>
      <c r="H268" t="s">
        <v>145</v>
      </c>
      <c r="I268" t="s">
        <v>145</v>
      </c>
      <c r="J268" s="11" t="s">
        <v>145</v>
      </c>
    </row>
    <row r="269" spans="2:10" x14ac:dyDescent="0.3">
      <c r="B269" t="s">
        <v>145</v>
      </c>
      <c r="C269" t="s">
        <v>145</v>
      </c>
      <c r="D269" t="s">
        <v>145</v>
      </c>
      <c r="E269" t="s">
        <v>145</v>
      </c>
      <c r="F269" s="3" t="s">
        <v>145</v>
      </c>
      <c r="G269" t="s">
        <v>145</v>
      </c>
      <c r="H269" t="s">
        <v>145</v>
      </c>
      <c r="I269" t="s">
        <v>145</v>
      </c>
      <c r="J269" s="11" t="s">
        <v>145</v>
      </c>
    </row>
    <row r="270" spans="2:10" x14ac:dyDescent="0.3">
      <c r="B270" t="s">
        <v>145</v>
      </c>
      <c r="C270" t="s">
        <v>145</v>
      </c>
      <c r="D270" t="s">
        <v>145</v>
      </c>
      <c r="E270" t="s">
        <v>145</v>
      </c>
      <c r="F270" s="3" t="s">
        <v>145</v>
      </c>
      <c r="G270" t="s">
        <v>145</v>
      </c>
      <c r="H270" t="s">
        <v>145</v>
      </c>
      <c r="I270" t="s">
        <v>145</v>
      </c>
      <c r="J270" s="11" t="s">
        <v>145</v>
      </c>
    </row>
    <row r="271" spans="2:10" x14ac:dyDescent="0.3">
      <c r="B271" t="s">
        <v>145</v>
      </c>
      <c r="C271" t="s">
        <v>145</v>
      </c>
      <c r="D271" t="s">
        <v>145</v>
      </c>
      <c r="E271" t="s">
        <v>145</v>
      </c>
      <c r="F271" s="3" t="s">
        <v>145</v>
      </c>
      <c r="G271" t="s">
        <v>145</v>
      </c>
      <c r="H271" t="s">
        <v>145</v>
      </c>
      <c r="I271" t="s">
        <v>145</v>
      </c>
      <c r="J271" s="11" t="s">
        <v>145</v>
      </c>
    </row>
    <row r="272" spans="2:10" x14ac:dyDescent="0.3">
      <c r="B272" t="s">
        <v>145</v>
      </c>
      <c r="C272" t="s">
        <v>145</v>
      </c>
      <c r="D272" t="s">
        <v>145</v>
      </c>
      <c r="E272" t="s">
        <v>145</v>
      </c>
      <c r="F272" s="3" t="s">
        <v>145</v>
      </c>
      <c r="G272" t="s">
        <v>145</v>
      </c>
      <c r="H272" t="s">
        <v>145</v>
      </c>
      <c r="I272" t="s">
        <v>145</v>
      </c>
      <c r="J272" s="11" t="s">
        <v>145</v>
      </c>
    </row>
    <row r="273" spans="2:10" x14ac:dyDescent="0.3">
      <c r="B273" t="s">
        <v>145</v>
      </c>
      <c r="C273" t="s">
        <v>145</v>
      </c>
      <c r="D273" t="s">
        <v>145</v>
      </c>
      <c r="E273" t="s">
        <v>145</v>
      </c>
      <c r="F273" s="3" t="s">
        <v>145</v>
      </c>
      <c r="G273" t="s">
        <v>145</v>
      </c>
      <c r="H273" t="s">
        <v>145</v>
      </c>
      <c r="I273" t="s">
        <v>145</v>
      </c>
      <c r="J273" s="11" t="s">
        <v>145</v>
      </c>
    </row>
    <row r="274" spans="2:10" x14ac:dyDescent="0.3">
      <c r="B274" t="s">
        <v>145</v>
      </c>
      <c r="C274" t="s">
        <v>145</v>
      </c>
      <c r="D274" t="s">
        <v>145</v>
      </c>
      <c r="E274" t="s">
        <v>145</v>
      </c>
      <c r="F274" s="3" t="s">
        <v>145</v>
      </c>
      <c r="G274" t="s">
        <v>145</v>
      </c>
      <c r="H274" t="s">
        <v>145</v>
      </c>
      <c r="I274" t="s">
        <v>145</v>
      </c>
      <c r="J274" s="11" t="s">
        <v>145</v>
      </c>
    </row>
    <row r="275" spans="2:10" x14ac:dyDescent="0.3">
      <c r="B275" t="s">
        <v>145</v>
      </c>
      <c r="C275" t="s">
        <v>145</v>
      </c>
      <c r="D275" t="s">
        <v>145</v>
      </c>
      <c r="E275" t="s">
        <v>145</v>
      </c>
      <c r="F275" s="3" t="s">
        <v>145</v>
      </c>
      <c r="G275" t="s">
        <v>145</v>
      </c>
      <c r="H275" t="s">
        <v>145</v>
      </c>
      <c r="I275" t="s">
        <v>145</v>
      </c>
      <c r="J275" s="11" t="s">
        <v>145</v>
      </c>
    </row>
    <row r="276" spans="2:10" x14ac:dyDescent="0.3">
      <c r="B276" t="s">
        <v>145</v>
      </c>
      <c r="C276" t="s">
        <v>145</v>
      </c>
      <c r="D276" t="s">
        <v>145</v>
      </c>
      <c r="E276" t="s">
        <v>145</v>
      </c>
      <c r="F276" s="3" t="s">
        <v>145</v>
      </c>
      <c r="G276" t="s">
        <v>145</v>
      </c>
      <c r="H276" t="s">
        <v>145</v>
      </c>
      <c r="I276" t="s">
        <v>145</v>
      </c>
      <c r="J276" s="11" t="s">
        <v>145</v>
      </c>
    </row>
    <row r="277" spans="2:10" x14ac:dyDescent="0.3">
      <c r="B277" t="s">
        <v>145</v>
      </c>
      <c r="C277" t="s">
        <v>145</v>
      </c>
      <c r="D277" t="s">
        <v>145</v>
      </c>
      <c r="E277" t="s">
        <v>145</v>
      </c>
      <c r="F277" s="3" t="s">
        <v>145</v>
      </c>
      <c r="G277" t="s">
        <v>145</v>
      </c>
      <c r="H277" t="s">
        <v>145</v>
      </c>
      <c r="I277" t="s">
        <v>145</v>
      </c>
      <c r="J277" s="11" t="s">
        <v>145</v>
      </c>
    </row>
    <row r="278" spans="2:10" x14ac:dyDescent="0.3">
      <c r="B278" t="s">
        <v>145</v>
      </c>
      <c r="C278" t="s">
        <v>145</v>
      </c>
      <c r="D278" t="s">
        <v>145</v>
      </c>
      <c r="E278" t="s">
        <v>145</v>
      </c>
      <c r="F278" s="3" t="s">
        <v>145</v>
      </c>
      <c r="G278" t="s">
        <v>145</v>
      </c>
      <c r="H278" t="s">
        <v>145</v>
      </c>
      <c r="I278" t="s">
        <v>145</v>
      </c>
      <c r="J278" s="11" t="s">
        <v>145</v>
      </c>
    </row>
    <row r="279" spans="2:10" x14ac:dyDescent="0.3">
      <c r="B279" t="s">
        <v>145</v>
      </c>
      <c r="C279" t="s">
        <v>145</v>
      </c>
      <c r="D279" t="s">
        <v>145</v>
      </c>
      <c r="E279" t="s">
        <v>145</v>
      </c>
      <c r="F279" s="3" t="s">
        <v>145</v>
      </c>
      <c r="G279" t="s">
        <v>145</v>
      </c>
      <c r="H279" t="s">
        <v>145</v>
      </c>
      <c r="I279" t="s">
        <v>145</v>
      </c>
      <c r="J279" s="11" t="s">
        <v>145</v>
      </c>
    </row>
    <row r="280" spans="2:10" x14ac:dyDescent="0.3">
      <c r="B280" t="s">
        <v>145</v>
      </c>
      <c r="C280" t="s">
        <v>145</v>
      </c>
      <c r="D280" t="s">
        <v>145</v>
      </c>
      <c r="E280" t="s">
        <v>145</v>
      </c>
      <c r="F280" s="3" t="s">
        <v>145</v>
      </c>
      <c r="G280" t="s">
        <v>145</v>
      </c>
      <c r="H280" t="s">
        <v>145</v>
      </c>
      <c r="I280" t="s">
        <v>145</v>
      </c>
      <c r="J280" s="11" t="s">
        <v>145</v>
      </c>
    </row>
    <row r="281" spans="2:10" x14ac:dyDescent="0.3">
      <c r="B281" t="s">
        <v>145</v>
      </c>
      <c r="C281" t="s">
        <v>145</v>
      </c>
      <c r="D281" t="s">
        <v>145</v>
      </c>
      <c r="E281" t="s">
        <v>145</v>
      </c>
      <c r="F281" s="3" t="s">
        <v>145</v>
      </c>
      <c r="G281" t="s">
        <v>145</v>
      </c>
      <c r="H281" t="s">
        <v>145</v>
      </c>
      <c r="I281" t="s">
        <v>145</v>
      </c>
      <c r="J281" s="11" t="s">
        <v>145</v>
      </c>
    </row>
    <row r="282" spans="2:10" x14ac:dyDescent="0.3">
      <c r="B282" t="s">
        <v>145</v>
      </c>
      <c r="C282" t="s">
        <v>145</v>
      </c>
      <c r="D282" t="s">
        <v>145</v>
      </c>
      <c r="E282" t="s">
        <v>145</v>
      </c>
      <c r="F282" s="3" t="s">
        <v>145</v>
      </c>
      <c r="G282" t="s">
        <v>145</v>
      </c>
      <c r="H282" t="s">
        <v>145</v>
      </c>
      <c r="I282" t="s">
        <v>145</v>
      </c>
      <c r="J282" s="11" t="s">
        <v>145</v>
      </c>
    </row>
    <row r="283" spans="2:10" x14ac:dyDescent="0.3">
      <c r="B283" t="s">
        <v>145</v>
      </c>
      <c r="C283" t="s">
        <v>145</v>
      </c>
      <c r="D283" t="s">
        <v>145</v>
      </c>
      <c r="E283" t="s">
        <v>145</v>
      </c>
      <c r="F283" s="3" t="s">
        <v>145</v>
      </c>
      <c r="G283" t="s">
        <v>145</v>
      </c>
      <c r="H283" t="s">
        <v>145</v>
      </c>
      <c r="I283" t="s">
        <v>145</v>
      </c>
      <c r="J283" s="11" t="s">
        <v>145</v>
      </c>
    </row>
    <row r="284" spans="2:10" x14ac:dyDescent="0.3">
      <c r="B284" t="s">
        <v>145</v>
      </c>
      <c r="C284" t="s">
        <v>145</v>
      </c>
      <c r="D284" t="s">
        <v>145</v>
      </c>
      <c r="E284" t="s">
        <v>145</v>
      </c>
      <c r="F284" s="3" t="s">
        <v>145</v>
      </c>
      <c r="G284" t="s">
        <v>145</v>
      </c>
      <c r="H284" t="s">
        <v>145</v>
      </c>
      <c r="I284" t="s">
        <v>145</v>
      </c>
      <c r="J284" s="11" t="s">
        <v>145</v>
      </c>
    </row>
    <row r="285" spans="2:10" x14ac:dyDescent="0.3">
      <c r="B285" t="s">
        <v>145</v>
      </c>
      <c r="C285" t="s">
        <v>145</v>
      </c>
      <c r="D285" t="s">
        <v>145</v>
      </c>
      <c r="E285" t="s">
        <v>145</v>
      </c>
      <c r="F285" s="3" t="s">
        <v>145</v>
      </c>
      <c r="G285" t="s">
        <v>145</v>
      </c>
      <c r="H285" t="s">
        <v>145</v>
      </c>
      <c r="I285" t="s">
        <v>145</v>
      </c>
      <c r="J285" s="11" t="s">
        <v>145</v>
      </c>
    </row>
    <row r="286" spans="2:10" x14ac:dyDescent="0.3">
      <c r="B286" t="s">
        <v>145</v>
      </c>
      <c r="C286" t="s">
        <v>145</v>
      </c>
      <c r="D286" t="s">
        <v>145</v>
      </c>
      <c r="E286" t="s">
        <v>145</v>
      </c>
      <c r="F286" s="3" t="s">
        <v>145</v>
      </c>
      <c r="G286" t="s">
        <v>145</v>
      </c>
      <c r="H286" t="s">
        <v>145</v>
      </c>
      <c r="I286" t="s">
        <v>145</v>
      </c>
      <c r="J286" s="11" t="s">
        <v>145</v>
      </c>
    </row>
    <row r="287" spans="2:10" x14ac:dyDescent="0.3">
      <c r="B287" t="s">
        <v>145</v>
      </c>
      <c r="C287" t="s">
        <v>145</v>
      </c>
      <c r="D287" t="s">
        <v>145</v>
      </c>
      <c r="E287" t="s">
        <v>145</v>
      </c>
      <c r="F287" s="3" t="s">
        <v>145</v>
      </c>
      <c r="G287" t="s">
        <v>145</v>
      </c>
      <c r="H287" t="s">
        <v>145</v>
      </c>
      <c r="I287" t="s">
        <v>145</v>
      </c>
      <c r="J287" s="11" t="s">
        <v>145</v>
      </c>
    </row>
    <row r="288" spans="2:10" x14ac:dyDescent="0.3">
      <c r="B288" t="s">
        <v>145</v>
      </c>
      <c r="C288" t="s">
        <v>145</v>
      </c>
      <c r="D288" t="s">
        <v>145</v>
      </c>
      <c r="E288" t="s">
        <v>145</v>
      </c>
      <c r="F288" s="3" t="s">
        <v>145</v>
      </c>
      <c r="G288" t="s">
        <v>145</v>
      </c>
      <c r="H288" t="s">
        <v>145</v>
      </c>
      <c r="I288" t="s">
        <v>145</v>
      </c>
      <c r="J288" s="11" t="s">
        <v>145</v>
      </c>
    </row>
    <row r="289" spans="2:10" x14ac:dyDescent="0.3">
      <c r="B289" t="s">
        <v>145</v>
      </c>
      <c r="C289" t="s">
        <v>145</v>
      </c>
      <c r="D289" t="s">
        <v>145</v>
      </c>
      <c r="E289" t="s">
        <v>145</v>
      </c>
      <c r="F289" s="3" t="s">
        <v>145</v>
      </c>
      <c r="G289" t="s">
        <v>145</v>
      </c>
      <c r="H289" t="s">
        <v>145</v>
      </c>
      <c r="I289" t="s">
        <v>145</v>
      </c>
      <c r="J289" s="11" t="s">
        <v>145</v>
      </c>
    </row>
    <row r="290" spans="2:10" x14ac:dyDescent="0.3">
      <c r="B290" t="s">
        <v>145</v>
      </c>
      <c r="C290" t="s">
        <v>145</v>
      </c>
      <c r="D290" t="s">
        <v>145</v>
      </c>
      <c r="E290" t="s">
        <v>145</v>
      </c>
      <c r="F290" s="3" t="s">
        <v>145</v>
      </c>
      <c r="G290" t="s">
        <v>145</v>
      </c>
      <c r="H290" t="s">
        <v>145</v>
      </c>
      <c r="I290" t="s">
        <v>145</v>
      </c>
      <c r="J290" s="11" t="s">
        <v>145</v>
      </c>
    </row>
    <row r="291" spans="2:10" x14ac:dyDescent="0.3">
      <c r="B291" t="s">
        <v>145</v>
      </c>
      <c r="C291" t="s">
        <v>145</v>
      </c>
      <c r="D291" t="s">
        <v>145</v>
      </c>
      <c r="E291" t="s">
        <v>145</v>
      </c>
      <c r="F291" s="3" t="s">
        <v>145</v>
      </c>
      <c r="G291" t="s">
        <v>145</v>
      </c>
      <c r="H291" t="s">
        <v>145</v>
      </c>
      <c r="I291" t="s">
        <v>145</v>
      </c>
      <c r="J291" s="11" t="s">
        <v>145</v>
      </c>
    </row>
    <row r="292" spans="2:10" x14ac:dyDescent="0.3">
      <c r="B292" t="s">
        <v>145</v>
      </c>
      <c r="C292" t="s">
        <v>145</v>
      </c>
      <c r="D292" t="s">
        <v>145</v>
      </c>
      <c r="E292" t="s">
        <v>145</v>
      </c>
      <c r="F292" s="3" t="s">
        <v>145</v>
      </c>
      <c r="G292" t="s">
        <v>145</v>
      </c>
      <c r="H292" t="s">
        <v>145</v>
      </c>
      <c r="I292" t="s">
        <v>145</v>
      </c>
      <c r="J292" s="11" t="s">
        <v>145</v>
      </c>
    </row>
    <row r="293" spans="2:10" x14ac:dyDescent="0.3">
      <c r="B293" t="s">
        <v>145</v>
      </c>
      <c r="C293" t="s">
        <v>145</v>
      </c>
      <c r="D293" t="s">
        <v>145</v>
      </c>
      <c r="E293" t="s">
        <v>145</v>
      </c>
      <c r="F293" s="3" t="s">
        <v>145</v>
      </c>
      <c r="G293" t="s">
        <v>145</v>
      </c>
      <c r="H293" t="s">
        <v>145</v>
      </c>
      <c r="I293" t="s">
        <v>145</v>
      </c>
      <c r="J293" s="11" t="s">
        <v>145</v>
      </c>
    </row>
    <row r="294" spans="2:10" x14ac:dyDescent="0.3">
      <c r="B294" t="s">
        <v>145</v>
      </c>
      <c r="C294" t="s">
        <v>145</v>
      </c>
      <c r="D294" t="s">
        <v>145</v>
      </c>
      <c r="E294" t="s">
        <v>145</v>
      </c>
      <c r="F294" s="3" t="s">
        <v>145</v>
      </c>
      <c r="G294" t="s">
        <v>145</v>
      </c>
      <c r="H294" t="s">
        <v>145</v>
      </c>
      <c r="I294" t="s">
        <v>145</v>
      </c>
      <c r="J294" s="11" t="s">
        <v>145</v>
      </c>
    </row>
    <row r="295" spans="2:10" x14ac:dyDescent="0.3">
      <c r="B295" t="s">
        <v>145</v>
      </c>
      <c r="C295" t="s">
        <v>145</v>
      </c>
      <c r="D295" t="s">
        <v>145</v>
      </c>
      <c r="E295" t="s">
        <v>145</v>
      </c>
      <c r="F295" s="3" t="s">
        <v>145</v>
      </c>
      <c r="G295" t="s">
        <v>145</v>
      </c>
      <c r="H295" t="s">
        <v>145</v>
      </c>
      <c r="I295" t="s">
        <v>145</v>
      </c>
      <c r="J295" s="11" t="s">
        <v>145</v>
      </c>
    </row>
    <row r="296" spans="2:10" x14ac:dyDescent="0.3">
      <c r="B296" t="s">
        <v>145</v>
      </c>
      <c r="C296" t="s">
        <v>145</v>
      </c>
      <c r="D296" t="s">
        <v>145</v>
      </c>
      <c r="E296" t="s">
        <v>145</v>
      </c>
      <c r="F296" s="3" t="s">
        <v>145</v>
      </c>
      <c r="G296" t="s">
        <v>145</v>
      </c>
      <c r="H296" t="s">
        <v>145</v>
      </c>
      <c r="I296" t="s">
        <v>145</v>
      </c>
      <c r="J296" s="11" t="s">
        <v>145</v>
      </c>
    </row>
    <row r="297" spans="2:10" x14ac:dyDescent="0.3">
      <c r="B297" t="s">
        <v>145</v>
      </c>
      <c r="C297" t="s">
        <v>145</v>
      </c>
      <c r="D297" t="s">
        <v>145</v>
      </c>
      <c r="E297" t="s">
        <v>145</v>
      </c>
      <c r="F297" s="3" t="s">
        <v>145</v>
      </c>
      <c r="G297" t="s">
        <v>145</v>
      </c>
      <c r="H297" t="s">
        <v>145</v>
      </c>
      <c r="I297" t="s">
        <v>145</v>
      </c>
      <c r="J297" s="11" t="s">
        <v>145</v>
      </c>
    </row>
    <row r="298" spans="2:10" x14ac:dyDescent="0.3">
      <c r="B298" t="s">
        <v>145</v>
      </c>
      <c r="C298" t="s">
        <v>145</v>
      </c>
      <c r="D298" t="s">
        <v>145</v>
      </c>
      <c r="E298" t="s">
        <v>145</v>
      </c>
      <c r="F298" s="3" t="s">
        <v>145</v>
      </c>
      <c r="G298" t="s">
        <v>145</v>
      </c>
      <c r="H298" t="s">
        <v>145</v>
      </c>
      <c r="I298" t="s">
        <v>145</v>
      </c>
      <c r="J298" s="11" t="s">
        <v>145</v>
      </c>
    </row>
    <row r="299" spans="2:10" x14ac:dyDescent="0.3">
      <c r="B299" t="s">
        <v>145</v>
      </c>
      <c r="C299" t="s">
        <v>145</v>
      </c>
      <c r="D299" t="s">
        <v>145</v>
      </c>
      <c r="E299" t="s">
        <v>145</v>
      </c>
      <c r="F299" s="3" t="s">
        <v>145</v>
      </c>
      <c r="G299" t="s">
        <v>145</v>
      </c>
      <c r="H299" t="s">
        <v>145</v>
      </c>
      <c r="I299" t="s">
        <v>145</v>
      </c>
      <c r="J299" s="11" t="s">
        <v>145</v>
      </c>
    </row>
    <row r="300" spans="2:10" x14ac:dyDescent="0.3">
      <c r="B300" t="s">
        <v>145</v>
      </c>
      <c r="C300" t="s">
        <v>145</v>
      </c>
      <c r="D300" t="s">
        <v>145</v>
      </c>
      <c r="E300" t="s">
        <v>145</v>
      </c>
      <c r="F300" s="3" t="s">
        <v>145</v>
      </c>
      <c r="G300" t="s">
        <v>145</v>
      </c>
      <c r="H300" t="s">
        <v>145</v>
      </c>
      <c r="I300" t="s">
        <v>145</v>
      </c>
      <c r="J300" s="11" t="s">
        <v>145</v>
      </c>
    </row>
  </sheetData>
  <sheetProtection algorithmName="SHA-512" hashValue="xyIocI525Kqk2FhTRZ8BVFSxv1UKDBGVVRiZc+nQxSHV4uIgVOx3a02be5Z10otXOGT6h8LLeLGn9nreHkuiWg==" saltValue="PeQs1DFSvj6KEblehGDnWA==" spinCount="100000" sheet="1" objects="1" scenarios="1" autoFilter="0" pivotTables="0"/>
  <conditionalFormatting sqref="A2:A1048576">
    <cfRule type="duplicateValues" dxfId="23" priority="1"/>
  </conditionalFormatting>
  <conditionalFormatting sqref="B2:J300">
    <cfRule type="expression" dxfId="22" priority="2">
      <formula>OR(IF($A2=0,1))</formula>
    </cfRule>
  </conditionalFormatting>
  <hyperlinks>
    <hyperlink ref="G55" r:id="rId1" xr:uid="{9D386A45-E97C-449A-BA71-3BFC33D1D827}"/>
    <hyperlink ref="G68" r:id="rId2" xr:uid="{39F7253F-3A30-4034-BD30-1167AE315471}"/>
    <hyperlink ref="C68" r:id="rId3" display="mailto:info@barnkompani.se" xr:uid="{64BB8804-21BC-46E1-9F1B-2CA26FD40082}"/>
    <hyperlink ref="C197" r:id="rId4" xr:uid="{390F6BF0-4F6F-4036-AF48-6DD2B2AD2B42}"/>
    <hyperlink ref="G19" r:id="rId5" xr:uid="{D1420D9A-8F1B-407F-9E03-257B07C5AF58}"/>
    <hyperlink ref="C151" r:id="rId6" xr:uid="{C3A601C8-C662-48D4-844F-DB910336A4F4}"/>
    <hyperlink ref="G151" r:id="rId7" xr:uid="{BBF3BD9C-F501-4E62-B027-91592D0C90BC}"/>
    <hyperlink ref="G18" r:id="rId8" xr:uid="{DA3C1B36-948F-4978-B5F9-EDA48639C617}"/>
    <hyperlink ref="G222" r:id="rId9" xr:uid="{98EBABF1-72AE-405D-9EDE-A1BA339FC70E}"/>
    <hyperlink ref="G14" r:id="rId10" xr:uid="{E9A586CD-A93D-4532-85AB-B613B614D04A}"/>
    <hyperlink ref="C111" r:id="rId11" xr:uid="{AE60E8BB-50C1-4A41-9E8C-980B75FAC03C}"/>
    <hyperlink ref="G111" r:id="rId12" xr:uid="{D6AA98CE-723D-41EF-8A22-B375AEEA9533}"/>
    <hyperlink ref="G16" r:id="rId13" xr:uid="{41B6F89E-0FD3-45D9-AF19-4A6F4EB6F08A}"/>
    <hyperlink ref="G120" r:id="rId14" xr:uid="{CC733399-659C-430F-94E8-6CB5BE048AB8}"/>
    <hyperlink ref="G53" r:id="rId15" xr:uid="{4805E6CF-B2C6-4F8A-AACD-1BEF6DEB9D60}"/>
    <hyperlink ref="G139" r:id="rId16" xr:uid="{77F563EE-43EF-4E28-9FD4-565E63DBC07A}"/>
    <hyperlink ref="G87" r:id="rId17" xr:uid="{DCEBD828-EA7A-418C-8C07-9C2A67963149}"/>
    <hyperlink ref="G168" r:id="rId18" xr:uid="{4FCFC32F-CDB5-4FA8-861B-582294840F32}"/>
    <hyperlink ref="G169" r:id="rId19" xr:uid="{77FB9D57-98D5-47F2-8C51-8235D36B991E}"/>
    <hyperlink ref="G170" r:id="rId20" xr:uid="{FBA1B7AC-AA9F-4729-96E2-F8A48745A8C2}"/>
    <hyperlink ref="G141" r:id="rId21" display="malingustafsson59@gmail.com" xr:uid="{CB969495-F8BF-4407-8F5E-017987F8C7F3}"/>
    <hyperlink ref="G211" r:id="rId22" xr:uid="{F9695B85-1666-40DC-99D8-6E775DB9F020}"/>
    <hyperlink ref="G114" r:id="rId23" xr:uid="{4E390444-A786-4779-B0DF-2E305ECA3BE0}"/>
    <hyperlink ref="G65" r:id="rId24" xr:uid="{448BC039-544F-4F81-8F80-C0AA858B9B6D}"/>
    <hyperlink ref="C53" r:id="rId25" xr:uid="{7F8EB058-2C73-4283-BC87-0A26AA8AF289}"/>
    <hyperlink ref="G132" r:id="rId26" xr:uid="{24DCC94F-E77F-420B-AC7F-78E9C496FEB7}"/>
    <hyperlink ref="C146" r:id="rId27" xr:uid="{B507774D-B101-403A-A1D2-F4756FC59805}"/>
    <hyperlink ref="G146" r:id="rId28" xr:uid="{C87F4D3F-CB71-4040-A4AD-D5ADD50D932E}"/>
    <hyperlink ref="C51" r:id="rId29" xr:uid="{87FB04C9-3052-485A-975D-9D350483B8DA}"/>
    <hyperlink ref="C24" r:id="rId30" xr:uid="{C3A634F0-2908-4B3D-88C4-CCAC19FD8D3C}"/>
    <hyperlink ref="G24" r:id="rId31" xr:uid="{6D3CE2D4-7EEE-481D-B7F1-4A78DEA2FFBD}"/>
    <hyperlink ref="G162" r:id="rId32" xr:uid="{E601BACA-C7A9-49D9-907C-F0990B099F57}"/>
    <hyperlink ref="C62" r:id="rId33" xr:uid="{5F358FD7-2005-4A44-B923-F81AA32A7A84}"/>
    <hyperlink ref="G138" r:id="rId34" xr:uid="{DC1B71A4-1AA1-4139-BDD6-09BB2EA78F83}"/>
    <hyperlink ref="G97" r:id="rId35" xr:uid="{5E4925EF-A52B-44BC-9876-E94E169EB38F}"/>
    <hyperlink ref="C192" r:id="rId36" xr:uid="{A81F1C7C-60F0-47D5-8B63-540013168CB1}"/>
    <hyperlink ref="G192" r:id="rId37" xr:uid="{2AF49116-76F1-45E7-ABD1-DDF9A6B031DB}"/>
    <hyperlink ref="G5" r:id="rId38" xr:uid="{1E8A3993-0902-4ABB-A4A8-016BD80A9ABB}"/>
    <hyperlink ref="G10" r:id="rId39" xr:uid="{3D4548E7-EE1D-41E8-A836-BE688C82EAFA}"/>
    <hyperlink ref="G11" r:id="rId40" xr:uid="{4BF67FA7-4360-44F9-9167-05E2DF3362B1}"/>
    <hyperlink ref="G12" r:id="rId41" xr:uid="{9E9C0B3D-7AAF-48B1-A958-A3DCC2434875}"/>
    <hyperlink ref="C142" r:id="rId42" xr:uid="{DE525A61-7DF5-49AC-BB68-C3452D667616}"/>
    <hyperlink ref="G196" r:id="rId43" xr:uid="{9B829413-4A2D-462F-A266-AE9B5B525092}"/>
    <hyperlink ref="G156" r:id="rId44" xr:uid="{A2A434F8-E457-40BD-B91B-CF1D4A859A85}"/>
    <hyperlink ref="G92" r:id="rId45" xr:uid="{3DA1F683-7D98-431E-A95C-7B6623C0E248}"/>
    <hyperlink ref="C144" r:id="rId46" xr:uid="{9EC9DA5D-B452-41AD-955C-54D50C7F8A57}"/>
    <hyperlink ref="G144" r:id="rId47" xr:uid="{A55495A8-3549-418B-823F-D81978CE1A34}"/>
    <hyperlink ref="G40" r:id="rId48" xr:uid="{80457A54-7C90-4C50-AD32-1292CF0A084B}"/>
    <hyperlink ref="G182" r:id="rId49" xr:uid="{0BFDFEDE-1E4F-44C7-A16F-DC55F5472AD3}"/>
    <hyperlink ref="G186" r:id="rId50" xr:uid="{85B225D8-31D5-41F5-A18B-40B33E26F0F2}"/>
    <hyperlink ref="G212" r:id="rId51" xr:uid="{3CF85B63-995D-4E21-9122-9A50BDDAFCCB}"/>
    <hyperlink ref="G173" r:id="rId52" xr:uid="{A9F98857-044E-48BF-9F67-6BA95A11D9B7}"/>
    <hyperlink ref="C49" r:id="rId53" xr:uid="{9FB4CB9C-ED1F-46F1-90F4-2753A89982D1}"/>
    <hyperlink ref="G150" r:id="rId54" xr:uid="{5F23B009-FA82-4CCE-A3EB-1FCD13DE7E60}"/>
    <hyperlink ref="G206" r:id="rId55" xr:uid="{D5CFE594-9224-4F88-887D-952D9930FD45}"/>
  </hyperlinks>
  <pageMargins left="0.7" right="0.7" top="0.75" bottom="0.75" header="0.3" footer="0.3"/>
  <pageSetup paperSize="9" orientation="portrait" r:id="rId56"/>
  <legacyDrawing r:id="rId57"/>
  <tableParts count="1">
    <tablePart r:id="rId58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91E7-4320-4805-876E-2734D0B04DCF}">
  <sheetPr codeName="Blad57"/>
  <dimension ref="A1:X2000"/>
  <sheetViews>
    <sheetView showGridLines="0" zoomScaleNormal="100" workbookViewId="0">
      <selection activeCell="C4" sqref="C4"/>
    </sheetView>
  </sheetViews>
  <sheetFormatPr defaultColWidth="8.88671875" defaultRowHeight="15" customHeight="1" x14ac:dyDescent="0.3"/>
  <cols>
    <col min="1" max="1" width="8.88671875" style="84" customWidth="1"/>
    <col min="2" max="2" width="11.6640625" style="84" customWidth="1"/>
    <col min="3" max="3" width="7.6640625" style="85" customWidth="1"/>
    <col min="4" max="4" width="7.6640625" style="14" customWidth="1"/>
    <col min="5" max="5" width="11.6640625" style="72" customWidth="1"/>
    <col min="6" max="6" width="39.6640625" style="86" customWidth="1"/>
    <col min="7" max="7" width="35.6640625" style="86" customWidth="1"/>
    <col min="8" max="8" width="13.6640625" style="87" customWidth="1"/>
    <col min="9" max="9" width="25.6640625" style="86" customWidth="1"/>
    <col min="10" max="10" width="20.6640625" style="72" customWidth="1"/>
    <col min="11" max="11" width="13.44140625" style="14" bestFit="1" customWidth="1"/>
    <col min="12" max="12" width="20.6640625" style="86" customWidth="1"/>
    <col min="13" max="13" width="21.33203125" style="88" customWidth="1"/>
    <col min="14" max="14" width="37.6640625" style="86" customWidth="1"/>
    <col min="15" max="15" width="75.6640625" style="86" customWidth="1"/>
    <col min="16" max="16" width="44.6640625" style="86" customWidth="1"/>
    <col min="17" max="17" width="19.6640625" style="86" customWidth="1"/>
    <col min="18" max="18" width="24.6640625" style="86" customWidth="1"/>
    <col min="19" max="19" width="16.6640625" style="86" customWidth="1"/>
    <col min="20" max="20" width="15.6640625" style="86" customWidth="1"/>
    <col min="21" max="21" width="8.88671875" style="14"/>
    <col min="22" max="22" width="10.33203125" style="72" bestFit="1" customWidth="1"/>
    <col min="23" max="23" width="10.44140625" style="72" bestFit="1" customWidth="1"/>
    <col min="24" max="24" width="8.88671875" style="72"/>
    <col min="25" max="25" width="25.6640625" style="14" customWidth="1"/>
    <col min="26" max="16384" width="8.88671875" style="14"/>
  </cols>
  <sheetData>
    <row r="1" spans="1:20" s="15" customFormat="1" ht="15" customHeight="1" thickBot="1" x14ac:dyDescent="0.35">
      <c r="A1" s="30" t="s">
        <v>0</v>
      </c>
      <c r="B1" s="32" t="s">
        <v>1</v>
      </c>
      <c r="C1" s="59"/>
      <c r="D1" s="31" t="s">
        <v>2</v>
      </c>
      <c r="E1" s="32" t="s">
        <v>3</v>
      </c>
      <c r="F1" s="32" t="s">
        <v>4</v>
      </c>
      <c r="G1" s="32" t="s">
        <v>5</v>
      </c>
      <c r="H1" s="60"/>
      <c r="I1" s="31" t="s">
        <v>825</v>
      </c>
      <c r="J1" s="32" t="s">
        <v>6</v>
      </c>
      <c r="K1" s="32" t="s">
        <v>827</v>
      </c>
      <c r="L1" s="32" t="s">
        <v>7</v>
      </c>
      <c r="M1" s="33" t="s">
        <v>8</v>
      </c>
      <c r="N1" s="32" t="s">
        <v>9</v>
      </c>
      <c r="O1" s="32" t="s">
        <v>10</v>
      </c>
      <c r="P1" s="32" t="s">
        <v>11</v>
      </c>
      <c r="Q1" s="32" t="s">
        <v>12</v>
      </c>
      <c r="R1" s="32" t="s">
        <v>13</v>
      </c>
      <c r="S1" s="32" t="s">
        <v>14</v>
      </c>
      <c r="T1" s="34" t="s">
        <v>15</v>
      </c>
    </row>
    <row r="2" spans="1:20" ht="15" customHeight="1" x14ac:dyDescent="0.3">
      <c r="A2" s="61"/>
      <c r="B2" s="62"/>
      <c r="C2" s="63"/>
      <c r="D2" s="64"/>
      <c r="E2" s="65"/>
      <c r="F2" s="66"/>
      <c r="G2" s="66"/>
      <c r="H2" s="67"/>
      <c r="I2" s="68"/>
      <c r="J2" s="65"/>
      <c r="K2" s="69" t="b">
        <v>0</v>
      </c>
      <c r="L2" s="66"/>
      <c r="M2" s="70"/>
      <c r="N2" s="66"/>
      <c r="O2" s="66"/>
      <c r="P2" s="66"/>
      <c r="Q2" s="66"/>
      <c r="R2" s="66"/>
      <c r="S2" s="66"/>
      <c r="T2" s="71"/>
    </row>
    <row r="3" spans="1:20" ht="15" customHeight="1" x14ac:dyDescent="0.3">
      <c r="A3" s="73"/>
      <c r="B3" s="74"/>
      <c r="C3" s="75"/>
      <c r="D3" s="76"/>
      <c r="E3" s="77"/>
      <c r="F3" s="78"/>
      <c r="G3" s="78"/>
      <c r="H3" s="79"/>
      <c r="I3" s="80"/>
      <c r="J3" s="77"/>
      <c r="K3" s="81" t="b">
        <v>0</v>
      </c>
      <c r="L3" s="78"/>
      <c r="M3" s="82"/>
      <c r="N3" s="78"/>
      <c r="O3" s="78"/>
      <c r="P3" s="78"/>
      <c r="Q3" s="78"/>
      <c r="R3" s="78"/>
      <c r="S3" s="78"/>
      <c r="T3" s="83"/>
    </row>
    <row r="4" spans="1:20" ht="15" customHeight="1" x14ac:dyDescent="0.3">
      <c r="A4" s="73"/>
      <c r="B4" s="74"/>
      <c r="C4" s="75"/>
      <c r="D4" s="76"/>
      <c r="E4" s="77"/>
      <c r="F4" s="78"/>
      <c r="G4" s="78"/>
      <c r="H4" s="79"/>
      <c r="I4" s="80"/>
      <c r="J4" s="77"/>
      <c r="K4" s="81" t="b">
        <v>0</v>
      </c>
      <c r="L4" s="78"/>
      <c r="M4" s="82"/>
      <c r="N4" s="78"/>
      <c r="O4" s="78"/>
      <c r="P4" s="78"/>
      <c r="Q4" s="78"/>
      <c r="R4" s="78"/>
      <c r="S4" s="78"/>
      <c r="T4" s="83"/>
    </row>
    <row r="5" spans="1:20" ht="15" customHeight="1" x14ac:dyDescent="0.3">
      <c r="A5" s="73"/>
      <c r="B5" s="74"/>
      <c r="C5" s="75"/>
      <c r="D5" s="76"/>
      <c r="E5" s="77"/>
      <c r="F5" s="78"/>
      <c r="G5" s="78"/>
      <c r="H5" s="79"/>
      <c r="I5" s="80"/>
      <c r="J5" s="77"/>
      <c r="K5" s="81" t="b">
        <v>0</v>
      </c>
      <c r="L5" s="78"/>
      <c r="M5" s="82"/>
      <c r="N5" s="78"/>
      <c r="O5" s="78"/>
      <c r="P5" s="78"/>
      <c r="Q5" s="78"/>
      <c r="R5" s="78"/>
      <c r="S5" s="78"/>
      <c r="T5" s="83"/>
    </row>
    <row r="6" spans="1:20" ht="15" customHeight="1" x14ac:dyDescent="0.3">
      <c r="A6" s="73"/>
      <c r="B6" s="74"/>
      <c r="C6" s="75"/>
      <c r="D6" s="76"/>
      <c r="E6" s="77"/>
      <c r="F6" s="78"/>
      <c r="G6" s="78"/>
      <c r="H6" s="79"/>
      <c r="I6" s="80"/>
      <c r="J6" s="77"/>
      <c r="K6" s="81" t="b">
        <v>0</v>
      </c>
      <c r="L6" s="78"/>
      <c r="M6" s="82"/>
      <c r="N6" s="78"/>
      <c r="O6" s="78"/>
      <c r="P6" s="78"/>
      <c r="Q6" s="78"/>
      <c r="R6" s="78"/>
      <c r="S6" s="78"/>
      <c r="T6" s="83"/>
    </row>
    <row r="7" spans="1:20" ht="15" customHeight="1" x14ac:dyDescent="0.3">
      <c r="A7" s="73"/>
      <c r="B7" s="74"/>
      <c r="C7" s="75"/>
      <c r="D7" s="76"/>
      <c r="E7" s="77"/>
      <c r="F7" s="78"/>
      <c r="G7" s="78"/>
      <c r="H7" s="79"/>
      <c r="I7" s="80"/>
      <c r="J7" s="77"/>
      <c r="K7" s="81" t="b">
        <v>0</v>
      </c>
      <c r="L7" s="78"/>
      <c r="M7" s="82"/>
      <c r="N7" s="78"/>
      <c r="O7" s="78"/>
      <c r="P7" s="78"/>
      <c r="Q7" s="78"/>
      <c r="R7" s="78"/>
      <c r="S7" s="78"/>
      <c r="T7" s="83"/>
    </row>
    <row r="8" spans="1:20" ht="15" customHeight="1" x14ac:dyDescent="0.3">
      <c r="A8" s="73"/>
      <c r="B8" s="74"/>
      <c r="C8" s="75"/>
      <c r="D8" s="76"/>
      <c r="E8" s="77"/>
      <c r="F8" s="78"/>
      <c r="G8" s="78"/>
      <c r="H8" s="79"/>
      <c r="I8" s="80"/>
      <c r="J8" s="77"/>
      <c r="K8" s="81" t="b">
        <v>0</v>
      </c>
      <c r="L8" s="78"/>
      <c r="M8" s="82"/>
      <c r="N8" s="78"/>
      <c r="O8" s="78"/>
      <c r="P8" s="78"/>
      <c r="Q8" s="78"/>
      <c r="R8" s="78"/>
      <c r="S8" s="78"/>
      <c r="T8" s="83"/>
    </row>
    <row r="9" spans="1:20" ht="15" customHeight="1" x14ac:dyDescent="0.3">
      <c r="A9" s="73"/>
      <c r="B9" s="74"/>
      <c r="C9" s="75"/>
      <c r="D9" s="76"/>
      <c r="E9" s="77"/>
      <c r="F9" s="78"/>
      <c r="G9" s="78"/>
      <c r="H9" s="79"/>
      <c r="I9" s="80"/>
      <c r="J9" s="77"/>
      <c r="K9" s="81" t="b">
        <v>0</v>
      </c>
      <c r="L9" s="78"/>
      <c r="M9" s="82"/>
      <c r="N9" s="78"/>
      <c r="O9" s="78"/>
      <c r="P9" s="78"/>
      <c r="Q9" s="78"/>
      <c r="R9" s="78"/>
      <c r="S9" s="78"/>
      <c r="T9" s="83"/>
    </row>
    <row r="10" spans="1:20" ht="15" customHeight="1" x14ac:dyDescent="0.3">
      <c r="A10" s="73"/>
      <c r="B10" s="74"/>
      <c r="C10" s="75"/>
      <c r="D10" s="76"/>
      <c r="E10" s="77"/>
      <c r="F10" s="78"/>
      <c r="G10" s="78"/>
      <c r="H10" s="79"/>
      <c r="I10" s="80"/>
      <c r="J10" s="77"/>
      <c r="K10" s="81" t="b">
        <v>0</v>
      </c>
      <c r="L10" s="78"/>
      <c r="M10" s="82"/>
      <c r="N10" s="78"/>
      <c r="O10" s="78"/>
      <c r="P10" s="78"/>
      <c r="Q10" s="78"/>
      <c r="R10" s="78"/>
      <c r="S10" s="78"/>
      <c r="T10" s="83"/>
    </row>
    <row r="11" spans="1:20" ht="15" customHeight="1" x14ac:dyDescent="0.3">
      <c r="A11" s="73"/>
      <c r="B11" s="74"/>
      <c r="C11" s="75"/>
      <c r="D11" s="76"/>
      <c r="E11" s="77"/>
      <c r="F11" s="78"/>
      <c r="G11" s="78"/>
      <c r="H11" s="79"/>
      <c r="I11" s="80"/>
      <c r="J11" s="77"/>
      <c r="K11" s="81" t="b">
        <v>0</v>
      </c>
      <c r="L11" s="78"/>
      <c r="M11" s="82"/>
      <c r="N11" s="78"/>
      <c r="O11" s="78"/>
      <c r="P11" s="78"/>
      <c r="Q11" s="78"/>
      <c r="R11" s="78"/>
      <c r="S11" s="78"/>
      <c r="T11" s="83"/>
    </row>
    <row r="12" spans="1:20" ht="15" customHeight="1" x14ac:dyDescent="0.3">
      <c r="A12" s="73"/>
      <c r="B12" s="74"/>
      <c r="C12" s="75"/>
      <c r="D12" s="76"/>
      <c r="E12" s="77"/>
      <c r="F12" s="78"/>
      <c r="G12" s="78"/>
      <c r="H12" s="79"/>
      <c r="I12" s="80"/>
      <c r="J12" s="77"/>
      <c r="K12" s="81" t="b">
        <v>0</v>
      </c>
      <c r="L12" s="78"/>
      <c r="M12" s="82"/>
      <c r="N12" s="78"/>
      <c r="O12" s="78"/>
      <c r="P12" s="78"/>
      <c r="Q12" s="78"/>
      <c r="R12" s="78"/>
      <c r="S12" s="78"/>
      <c r="T12" s="83"/>
    </row>
    <row r="13" spans="1:20" ht="15" customHeight="1" x14ac:dyDescent="0.3">
      <c r="A13" s="73"/>
      <c r="B13" s="74"/>
      <c r="C13" s="75"/>
      <c r="D13" s="76"/>
      <c r="E13" s="77"/>
      <c r="F13" s="78"/>
      <c r="G13" s="78"/>
      <c r="H13" s="79"/>
      <c r="I13" s="80"/>
      <c r="J13" s="77"/>
      <c r="K13" s="81" t="b">
        <v>0</v>
      </c>
      <c r="L13" s="78"/>
      <c r="M13" s="82"/>
      <c r="N13" s="78"/>
      <c r="O13" s="78"/>
      <c r="P13" s="78"/>
      <c r="Q13" s="78"/>
      <c r="R13" s="78"/>
      <c r="S13" s="78"/>
      <c r="T13" s="83"/>
    </row>
    <row r="14" spans="1:20" ht="15" customHeight="1" x14ac:dyDescent="0.3">
      <c r="A14" s="73"/>
      <c r="B14" s="74"/>
      <c r="C14" s="75"/>
      <c r="D14" s="76"/>
      <c r="E14" s="77"/>
      <c r="F14" s="78"/>
      <c r="G14" s="78"/>
      <c r="H14" s="79"/>
      <c r="I14" s="80"/>
      <c r="J14" s="77"/>
      <c r="K14" s="81" t="b">
        <v>0</v>
      </c>
      <c r="L14" s="78"/>
      <c r="M14" s="82"/>
      <c r="N14" s="78"/>
      <c r="O14" s="78"/>
      <c r="P14" s="78"/>
      <c r="Q14" s="78"/>
      <c r="R14" s="78"/>
      <c r="S14" s="78"/>
      <c r="T14" s="83"/>
    </row>
    <row r="15" spans="1:20" ht="15" customHeight="1" x14ac:dyDescent="0.3">
      <c r="A15" s="73"/>
      <c r="B15" s="74"/>
      <c r="C15" s="75"/>
      <c r="D15" s="76"/>
      <c r="E15" s="77"/>
      <c r="F15" s="78"/>
      <c r="G15" s="78"/>
      <c r="H15" s="79"/>
      <c r="I15" s="80"/>
      <c r="J15" s="77"/>
      <c r="K15" s="81" t="b">
        <v>0</v>
      </c>
      <c r="L15" s="78"/>
      <c r="M15" s="82"/>
      <c r="N15" s="78"/>
      <c r="O15" s="78"/>
      <c r="P15" s="78"/>
      <c r="Q15" s="78"/>
      <c r="R15" s="78"/>
      <c r="S15" s="78"/>
      <c r="T15" s="83"/>
    </row>
    <row r="16" spans="1:20" ht="15" customHeight="1" x14ac:dyDescent="0.3">
      <c r="A16" s="73"/>
      <c r="B16" s="74"/>
      <c r="C16" s="75"/>
      <c r="D16" s="76"/>
      <c r="E16" s="77"/>
      <c r="F16" s="78"/>
      <c r="G16" s="78"/>
      <c r="H16" s="79"/>
      <c r="I16" s="80"/>
      <c r="J16" s="77"/>
      <c r="K16" s="81" t="b">
        <v>0</v>
      </c>
      <c r="L16" s="78"/>
      <c r="M16" s="82"/>
      <c r="N16" s="78"/>
      <c r="O16" s="78"/>
      <c r="P16" s="78"/>
      <c r="Q16" s="78"/>
      <c r="R16" s="78"/>
      <c r="S16" s="78"/>
      <c r="T16" s="83"/>
    </row>
    <row r="17" spans="1:20" ht="15" customHeight="1" x14ac:dyDescent="0.3">
      <c r="A17" s="73"/>
      <c r="B17" s="74"/>
      <c r="C17" s="75"/>
      <c r="D17" s="76"/>
      <c r="E17" s="77"/>
      <c r="F17" s="78"/>
      <c r="G17" s="78"/>
      <c r="H17" s="79"/>
      <c r="I17" s="80"/>
      <c r="J17" s="77"/>
      <c r="K17" s="81" t="b">
        <v>0</v>
      </c>
      <c r="L17" s="78"/>
      <c r="M17" s="82"/>
      <c r="N17" s="78"/>
      <c r="O17" s="78"/>
      <c r="P17" s="78"/>
      <c r="Q17" s="78"/>
      <c r="R17" s="78"/>
      <c r="S17" s="78"/>
      <c r="T17" s="83"/>
    </row>
    <row r="18" spans="1:20" ht="15" customHeight="1" x14ac:dyDescent="0.3">
      <c r="A18" s="73"/>
      <c r="B18" s="74"/>
      <c r="C18" s="75"/>
      <c r="D18" s="76"/>
      <c r="E18" s="77"/>
      <c r="F18" s="78"/>
      <c r="G18" s="78"/>
      <c r="H18" s="79"/>
      <c r="I18" s="80"/>
      <c r="J18" s="77"/>
      <c r="K18" s="81" t="b">
        <v>0</v>
      </c>
      <c r="L18" s="78"/>
      <c r="M18" s="82"/>
      <c r="N18" s="78"/>
      <c r="O18" s="78"/>
      <c r="P18" s="78"/>
      <c r="Q18" s="78"/>
      <c r="R18" s="78"/>
      <c r="S18" s="78"/>
      <c r="T18" s="83"/>
    </row>
    <row r="19" spans="1:20" ht="15" customHeight="1" x14ac:dyDescent="0.3">
      <c r="A19" s="73"/>
      <c r="B19" s="74"/>
      <c r="C19" s="75"/>
      <c r="D19" s="76"/>
      <c r="E19" s="77"/>
      <c r="F19" s="78"/>
      <c r="G19" s="78"/>
      <c r="H19" s="79"/>
      <c r="I19" s="80"/>
      <c r="J19" s="77"/>
      <c r="K19" s="81" t="b">
        <v>0</v>
      </c>
      <c r="L19" s="78"/>
      <c r="M19" s="82"/>
      <c r="N19" s="78"/>
      <c r="O19" s="78"/>
      <c r="P19" s="78"/>
      <c r="Q19" s="78"/>
      <c r="R19" s="78"/>
      <c r="S19" s="78"/>
      <c r="T19" s="83"/>
    </row>
    <row r="20" spans="1:20" ht="15" customHeight="1" x14ac:dyDescent="0.3">
      <c r="A20" s="73"/>
      <c r="B20" s="74"/>
      <c r="C20" s="75"/>
      <c r="D20" s="76"/>
      <c r="E20" s="77"/>
      <c r="F20" s="78"/>
      <c r="G20" s="78"/>
      <c r="H20" s="79"/>
      <c r="I20" s="80"/>
      <c r="J20" s="77"/>
      <c r="K20" s="81" t="b">
        <v>0</v>
      </c>
      <c r="L20" s="78"/>
      <c r="M20" s="82"/>
      <c r="N20" s="78"/>
      <c r="O20" s="78"/>
      <c r="P20" s="78"/>
      <c r="Q20" s="78"/>
      <c r="R20" s="78"/>
      <c r="S20" s="78"/>
      <c r="T20" s="83"/>
    </row>
    <row r="21" spans="1:20" ht="15" customHeight="1" x14ac:dyDescent="0.3">
      <c r="A21" s="73"/>
      <c r="B21" s="74"/>
      <c r="C21" s="75"/>
      <c r="D21" s="76"/>
      <c r="E21" s="77"/>
      <c r="F21" s="78"/>
      <c r="G21" s="78"/>
      <c r="H21" s="79"/>
      <c r="I21" s="80"/>
      <c r="J21" s="77"/>
      <c r="K21" s="81" t="b">
        <v>0</v>
      </c>
      <c r="L21" s="78"/>
      <c r="M21" s="82"/>
      <c r="N21" s="78"/>
      <c r="O21" s="78"/>
      <c r="P21" s="78"/>
      <c r="Q21" s="78"/>
      <c r="R21" s="78"/>
      <c r="S21" s="78"/>
      <c r="T21" s="83"/>
    </row>
    <row r="22" spans="1:20" ht="15" customHeight="1" x14ac:dyDescent="0.3">
      <c r="A22" s="73"/>
      <c r="B22" s="74"/>
      <c r="C22" s="75"/>
      <c r="D22" s="76"/>
      <c r="E22" s="77"/>
      <c r="F22" s="78"/>
      <c r="G22" s="78"/>
      <c r="H22" s="79"/>
      <c r="I22" s="80"/>
      <c r="J22" s="77"/>
      <c r="K22" s="81" t="b">
        <v>0</v>
      </c>
      <c r="L22" s="78"/>
      <c r="M22" s="82"/>
      <c r="N22" s="78"/>
      <c r="O22" s="78"/>
      <c r="P22" s="78"/>
      <c r="Q22" s="78"/>
      <c r="R22" s="78"/>
      <c r="S22" s="78"/>
      <c r="T22" s="83"/>
    </row>
    <row r="23" spans="1:20" ht="15" customHeight="1" x14ac:dyDescent="0.3">
      <c r="A23" s="73"/>
      <c r="B23" s="74"/>
      <c r="C23" s="75"/>
      <c r="D23" s="76"/>
      <c r="E23" s="77"/>
      <c r="F23" s="78"/>
      <c r="G23" s="78"/>
      <c r="H23" s="79"/>
      <c r="I23" s="80"/>
      <c r="J23" s="77"/>
      <c r="K23" s="81" t="b">
        <v>0</v>
      </c>
      <c r="L23" s="78"/>
      <c r="M23" s="82"/>
      <c r="N23" s="78"/>
      <c r="O23" s="78"/>
      <c r="P23" s="78"/>
      <c r="Q23" s="78"/>
      <c r="R23" s="78"/>
      <c r="S23" s="78"/>
      <c r="T23" s="83"/>
    </row>
    <row r="24" spans="1:20" ht="15" customHeight="1" x14ac:dyDescent="0.3">
      <c r="A24" s="73"/>
      <c r="B24" s="74"/>
      <c r="C24" s="75"/>
      <c r="D24" s="76"/>
      <c r="E24" s="77"/>
      <c r="F24" s="78"/>
      <c r="G24" s="78"/>
      <c r="H24" s="79"/>
      <c r="I24" s="80"/>
      <c r="J24" s="77"/>
      <c r="K24" s="81" t="b">
        <v>0</v>
      </c>
      <c r="L24" s="78"/>
      <c r="M24" s="82"/>
      <c r="N24" s="78"/>
      <c r="O24" s="78"/>
      <c r="P24" s="78"/>
      <c r="Q24" s="78"/>
      <c r="R24" s="78"/>
      <c r="S24" s="78"/>
      <c r="T24" s="83"/>
    </row>
    <row r="25" spans="1:20" ht="15" customHeight="1" x14ac:dyDescent="0.3">
      <c r="A25" s="73"/>
      <c r="B25" s="74"/>
      <c r="C25" s="75"/>
      <c r="D25" s="76"/>
      <c r="E25" s="77"/>
      <c r="F25" s="78"/>
      <c r="G25" s="78"/>
      <c r="H25" s="79"/>
      <c r="I25" s="80"/>
      <c r="J25" s="77"/>
      <c r="K25" s="81" t="b">
        <v>0</v>
      </c>
      <c r="L25" s="78"/>
      <c r="M25" s="82"/>
      <c r="N25" s="78"/>
      <c r="O25" s="78"/>
      <c r="P25" s="78"/>
      <c r="Q25" s="78"/>
      <c r="R25" s="78"/>
      <c r="S25" s="78"/>
      <c r="T25" s="83"/>
    </row>
    <row r="26" spans="1:20" ht="15" customHeight="1" x14ac:dyDescent="0.3">
      <c r="A26" s="73"/>
      <c r="B26" s="74"/>
      <c r="C26" s="75"/>
      <c r="D26" s="76"/>
      <c r="E26" s="77"/>
      <c r="F26" s="78"/>
      <c r="G26" s="78"/>
      <c r="H26" s="79"/>
      <c r="I26" s="80"/>
      <c r="J26" s="77"/>
      <c r="K26" s="81" t="b">
        <v>0</v>
      </c>
      <c r="L26" s="78"/>
      <c r="M26" s="82"/>
      <c r="N26" s="78"/>
      <c r="O26" s="78"/>
      <c r="P26" s="78"/>
      <c r="Q26" s="78"/>
      <c r="R26" s="78"/>
      <c r="S26" s="78"/>
      <c r="T26" s="83"/>
    </row>
    <row r="27" spans="1:20" ht="15" customHeight="1" x14ac:dyDescent="0.3">
      <c r="A27" s="73"/>
      <c r="B27" s="74"/>
      <c r="C27" s="75"/>
      <c r="D27" s="76"/>
      <c r="E27" s="77"/>
      <c r="F27" s="78"/>
      <c r="G27" s="78"/>
      <c r="H27" s="79"/>
      <c r="I27" s="80"/>
      <c r="J27" s="77"/>
      <c r="K27" s="81" t="b">
        <v>0</v>
      </c>
      <c r="L27" s="78"/>
      <c r="M27" s="82"/>
      <c r="N27" s="78"/>
      <c r="O27" s="78"/>
      <c r="P27" s="78"/>
      <c r="Q27" s="78"/>
      <c r="R27" s="78"/>
      <c r="S27" s="78"/>
      <c r="T27" s="83"/>
    </row>
    <row r="28" spans="1:20" ht="15" customHeight="1" x14ac:dyDescent="0.3">
      <c r="A28" s="73"/>
      <c r="B28" s="74"/>
      <c r="C28" s="75"/>
      <c r="D28" s="76"/>
      <c r="E28" s="77"/>
      <c r="F28" s="78"/>
      <c r="G28" s="78"/>
      <c r="H28" s="79"/>
      <c r="I28" s="80"/>
      <c r="J28" s="77"/>
      <c r="K28" s="81" t="b">
        <v>0</v>
      </c>
      <c r="L28" s="78"/>
      <c r="M28" s="82"/>
      <c r="N28" s="78"/>
      <c r="O28" s="78"/>
      <c r="P28" s="78"/>
      <c r="Q28" s="78"/>
      <c r="R28" s="78"/>
      <c r="S28" s="78"/>
      <c r="T28" s="83"/>
    </row>
    <row r="29" spans="1:20" ht="15" customHeight="1" x14ac:dyDescent="0.3">
      <c r="A29" s="73"/>
      <c r="B29" s="74"/>
      <c r="C29" s="75"/>
      <c r="D29" s="76"/>
      <c r="E29" s="77"/>
      <c r="F29" s="78"/>
      <c r="G29" s="78"/>
      <c r="H29" s="79"/>
      <c r="I29" s="80"/>
      <c r="J29" s="77"/>
      <c r="K29" s="81" t="b">
        <v>0</v>
      </c>
      <c r="L29" s="78"/>
      <c r="M29" s="82"/>
      <c r="N29" s="78"/>
      <c r="O29" s="78"/>
      <c r="P29" s="78"/>
      <c r="Q29" s="78"/>
      <c r="R29" s="78"/>
      <c r="S29" s="78"/>
      <c r="T29" s="83"/>
    </row>
    <row r="30" spans="1:20" ht="15" customHeight="1" x14ac:dyDescent="0.3">
      <c r="A30" s="73"/>
      <c r="B30" s="74"/>
      <c r="C30" s="75"/>
      <c r="D30" s="76"/>
      <c r="E30" s="77"/>
      <c r="F30" s="78"/>
      <c r="G30" s="78"/>
      <c r="H30" s="79"/>
      <c r="I30" s="80"/>
      <c r="J30" s="77"/>
      <c r="K30" s="81" t="b">
        <v>0</v>
      </c>
      <c r="L30" s="78"/>
      <c r="M30" s="82"/>
      <c r="N30" s="78"/>
      <c r="O30" s="78"/>
      <c r="P30" s="78"/>
      <c r="Q30" s="78"/>
      <c r="R30" s="78"/>
      <c r="S30" s="78"/>
      <c r="T30" s="83"/>
    </row>
    <row r="31" spans="1:20" ht="15" customHeight="1" x14ac:dyDescent="0.3">
      <c r="A31" s="73"/>
      <c r="B31" s="74"/>
      <c r="C31" s="75"/>
      <c r="D31" s="76"/>
      <c r="E31" s="77"/>
      <c r="F31" s="78"/>
      <c r="G31" s="78"/>
      <c r="H31" s="79"/>
      <c r="I31" s="80"/>
      <c r="J31" s="77"/>
      <c r="K31" s="81" t="b">
        <v>0</v>
      </c>
      <c r="L31" s="78"/>
      <c r="M31" s="82"/>
      <c r="N31" s="78"/>
      <c r="O31" s="78"/>
      <c r="P31" s="78"/>
      <c r="Q31" s="78"/>
      <c r="R31" s="78"/>
      <c r="S31" s="78"/>
      <c r="T31" s="83"/>
    </row>
    <row r="32" spans="1:20" ht="15" customHeight="1" x14ac:dyDescent="0.3">
      <c r="A32" s="73"/>
      <c r="B32" s="74"/>
      <c r="C32" s="75"/>
      <c r="D32" s="76"/>
      <c r="E32" s="77"/>
      <c r="F32" s="78"/>
      <c r="G32" s="78"/>
      <c r="H32" s="79"/>
      <c r="I32" s="80"/>
      <c r="J32" s="77"/>
      <c r="K32" s="81" t="b">
        <v>0</v>
      </c>
      <c r="L32" s="78"/>
      <c r="M32" s="82"/>
      <c r="N32" s="78"/>
      <c r="O32" s="78"/>
      <c r="P32" s="78"/>
      <c r="Q32" s="78"/>
      <c r="R32" s="78"/>
      <c r="S32" s="78"/>
      <c r="T32" s="83"/>
    </row>
    <row r="33" spans="1:20" ht="15" customHeight="1" x14ac:dyDescent="0.3">
      <c r="A33" s="73"/>
      <c r="B33" s="74"/>
      <c r="C33" s="75"/>
      <c r="D33" s="76"/>
      <c r="E33" s="77"/>
      <c r="F33" s="78"/>
      <c r="G33" s="78"/>
      <c r="H33" s="79"/>
      <c r="I33" s="80"/>
      <c r="J33" s="77"/>
      <c r="K33" s="81" t="b">
        <v>0</v>
      </c>
      <c r="L33" s="78"/>
      <c r="M33" s="82"/>
      <c r="N33" s="78"/>
      <c r="O33" s="78"/>
      <c r="P33" s="78"/>
      <c r="Q33" s="78"/>
      <c r="R33" s="78"/>
      <c r="S33" s="78"/>
      <c r="T33" s="83"/>
    </row>
    <row r="34" spans="1:20" ht="15" customHeight="1" x14ac:dyDescent="0.3">
      <c r="A34" s="73"/>
      <c r="B34" s="74"/>
      <c r="C34" s="75"/>
      <c r="D34" s="76"/>
      <c r="E34" s="77"/>
      <c r="F34" s="78"/>
      <c r="G34" s="78"/>
      <c r="H34" s="79"/>
      <c r="I34" s="80"/>
      <c r="J34" s="77"/>
      <c r="K34" s="81" t="b">
        <v>0</v>
      </c>
      <c r="L34" s="78"/>
      <c r="M34" s="82"/>
      <c r="N34" s="78"/>
      <c r="O34" s="78"/>
      <c r="P34" s="78"/>
      <c r="Q34" s="78"/>
      <c r="R34" s="78"/>
      <c r="S34" s="78"/>
      <c r="T34" s="83"/>
    </row>
    <row r="35" spans="1:20" ht="15" customHeight="1" x14ac:dyDescent="0.3">
      <c r="A35" s="73"/>
      <c r="B35" s="74"/>
      <c r="C35" s="75"/>
      <c r="D35" s="76"/>
      <c r="E35" s="77"/>
      <c r="F35" s="78"/>
      <c r="G35" s="78"/>
      <c r="H35" s="79"/>
      <c r="I35" s="80"/>
      <c r="J35" s="77"/>
      <c r="K35" s="81" t="b">
        <v>0</v>
      </c>
      <c r="L35" s="78"/>
      <c r="M35" s="82"/>
      <c r="N35" s="78"/>
      <c r="O35" s="78"/>
      <c r="P35" s="78"/>
      <c r="Q35" s="78"/>
      <c r="R35" s="78"/>
      <c r="S35" s="78"/>
      <c r="T35" s="83"/>
    </row>
    <row r="36" spans="1:20" ht="15" customHeight="1" x14ac:dyDescent="0.3">
      <c r="A36" s="73"/>
      <c r="B36" s="74"/>
      <c r="C36" s="75"/>
      <c r="D36" s="76"/>
      <c r="E36" s="77"/>
      <c r="F36" s="78"/>
      <c r="G36" s="78"/>
      <c r="H36" s="79"/>
      <c r="I36" s="80"/>
      <c r="J36" s="77"/>
      <c r="K36" s="81" t="b">
        <v>0</v>
      </c>
      <c r="L36" s="78"/>
      <c r="M36" s="82"/>
      <c r="N36" s="78"/>
      <c r="O36" s="78"/>
      <c r="P36" s="78"/>
      <c r="Q36" s="78"/>
      <c r="R36" s="78"/>
      <c r="S36" s="78"/>
      <c r="T36" s="83"/>
    </row>
    <row r="37" spans="1:20" ht="15" customHeight="1" x14ac:dyDescent="0.3">
      <c r="A37" s="73"/>
      <c r="B37" s="74"/>
      <c r="C37" s="75"/>
      <c r="D37" s="76"/>
      <c r="E37" s="77"/>
      <c r="F37" s="78"/>
      <c r="G37" s="78"/>
      <c r="H37" s="79"/>
      <c r="I37" s="80"/>
      <c r="J37" s="77"/>
      <c r="K37" s="81" t="b">
        <v>0</v>
      </c>
      <c r="L37" s="78"/>
      <c r="M37" s="82"/>
      <c r="N37" s="78"/>
      <c r="O37" s="78"/>
      <c r="P37" s="78"/>
      <c r="Q37" s="78"/>
      <c r="R37" s="78"/>
      <c r="S37" s="78"/>
      <c r="T37" s="83"/>
    </row>
    <row r="38" spans="1:20" ht="15" customHeight="1" x14ac:dyDescent="0.3">
      <c r="A38" s="73"/>
      <c r="B38" s="74"/>
      <c r="C38" s="75"/>
      <c r="D38" s="76"/>
      <c r="E38" s="77"/>
      <c r="F38" s="78"/>
      <c r="G38" s="78"/>
      <c r="H38" s="79"/>
      <c r="I38" s="80"/>
      <c r="J38" s="77"/>
      <c r="K38" s="81" t="b">
        <v>0</v>
      </c>
      <c r="L38" s="78"/>
      <c r="M38" s="82"/>
      <c r="N38" s="78"/>
      <c r="O38" s="78"/>
      <c r="P38" s="78"/>
      <c r="Q38" s="78"/>
      <c r="R38" s="78"/>
      <c r="S38" s="78"/>
      <c r="T38" s="83"/>
    </row>
    <row r="39" spans="1:20" ht="15" customHeight="1" x14ac:dyDescent="0.3">
      <c r="A39" s="73"/>
      <c r="B39" s="74"/>
      <c r="C39" s="75"/>
      <c r="D39" s="76"/>
      <c r="E39" s="77"/>
      <c r="F39" s="78"/>
      <c r="G39" s="78"/>
      <c r="H39" s="79"/>
      <c r="I39" s="80"/>
      <c r="J39" s="77"/>
      <c r="K39" s="81" t="b">
        <v>0</v>
      </c>
      <c r="L39" s="78"/>
      <c r="M39" s="82"/>
      <c r="N39" s="78"/>
      <c r="O39" s="78"/>
      <c r="P39" s="78"/>
      <c r="Q39" s="78"/>
      <c r="R39" s="78"/>
      <c r="S39" s="78"/>
      <c r="T39" s="83"/>
    </row>
    <row r="40" spans="1:20" ht="15" customHeight="1" x14ac:dyDescent="0.3">
      <c r="A40" s="73"/>
      <c r="B40" s="74"/>
      <c r="C40" s="75"/>
      <c r="D40" s="76"/>
      <c r="E40" s="77"/>
      <c r="F40" s="78"/>
      <c r="G40" s="78"/>
      <c r="H40" s="79"/>
      <c r="I40" s="80"/>
      <c r="J40" s="77"/>
      <c r="K40" s="81" t="b">
        <v>0</v>
      </c>
      <c r="L40" s="78"/>
      <c r="M40" s="82"/>
      <c r="N40" s="78"/>
      <c r="O40" s="78"/>
      <c r="P40" s="78"/>
      <c r="Q40" s="78"/>
      <c r="R40" s="78"/>
      <c r="S40" s="78"/>
      <c r="T40" s="83"/>
    </row>
    <row r="41" spans="1:20" ht="15" customHeight="1" x14ac:dyDescent="0.3">
      <c r="A41" s="73"/>
      <c r="B41" s="74"/>
      <c r="C41" s="75"/>
      <c r="D41" s="76"/>
      <c r="E41" s="77"/>
      <c r="F41" s="78"/>
      <c r="G41" s="78"/>
      <c r="H41" s="79"/>
      <c r="I41" s="80"/>
      <c r="J41" s="77"/>
      <c r="K41" s="81" t="b">
        <v>0</v>
      </c>
      <c r="L41" s="78"/>
      <c r="M41" s="82"/>
      <c r="N41" s="78"/>
      <c r="O41" s="78"/>
      <c r="P41" s="78"/>
      <c r="Q41" s="78"/>
      <c r="R41" s="78"/>
      <c r="S41" s="78"/>
      <c r="T41" s="83"/>
    </row>
    <row r="42" spans="1:20" ht="15" customHeight="1" x14ac:dyDescent="0.3">
      <c r="A42" s="73"/>
      <c r="B42" s="74"/>
      <c r="C42" s="75"/>
      <c r="D42" s="76"/>
      <c r="E42" s="77"/>
      <c r="F42" s="78"/>
      <c r="G42" s="78"/>
      <c r="H42" s="79"/>
      <c r="I42" s="80"/>
      <c r="J42" s="77"/>
      <c r="K42" s="81" t="b">
        <v>0</v>
      </c>
      <c r="L42" s="78"/>
      <c r="M42" s="82"/>
      <c r="N42" s="78"/>
      <c r="O42" s="78"/>
      <c r="P42" s="78"/>
      <c r="Q42" s="78"/>
      <c r="R42" s="78"/>
      <c r="S42" s="78"/>
      <c r="T42" s="83"/>
    </row>
    <row r="43" spans="1:20" ht="15" customHeight="1" x14ac:dyDescent="0.3">
      <c r="A43" s="73"/>
      <c r="B43" s="74"/>
      <c r="C43" s="75"/>
      <c r="D43" s="76"/>
      <c r="E43" s="77"/>
      <c r="F43" s="78"/>
      <c r="G43" s="78"/>
      <c r="H43" s="79"/>
      <c r="I43" s="80"/>
      <c r="J43" s="77"/>
      <c r="K43" s="81" t="b">
        <v>0</v>
      </c>
      <c r="L43" s="78"/>
      <c r="M43" s="82"/>
      <c r="N43" s="78"/>
      <c r="O43" s="78"/>
      <c r="P43" s="78"/>
      <c r="Q43" s="78"/>
      <c r="R43" s="78"/>
      <c r="S43" s="78"/>
      <c r="T43" s="83"/>
    </row>
    <row r="44" spans="1:20" ht="15" customHeight="1" x14ac:dyDescent="0.3">
      <c r="A44" s="73"/>
      <c r="B44" s="74"/>
      <c r="C44" s="75"/>
      <c r="D44" s="76"/>
      <c r="E44" s="77"/>
      <c r="F44" s="78"/>
      <c r="G44" s="78"/>
      <c r="H44" s="79"/>
      <c r="I44" s="80"/>
      <c r="J44" s="77"/>
      <c r="K44" s="81" t="b">
        <v>0</v>
      </c>
      <c r="L44" s="78"/>
      <c r="M44" s="82"/>
      <c r="N44" s="78"/>
      <c r="O44" s="78"/>
      <c r="P44" s="78"/>
      <c r="Q44" s="78"/>
      <c r="R44" s="78"/>
      <c r="S44" s="78"/>
      <c r="T44" s="83"/>
    </row>
    <row r="45" spans="1:20" ht="15" customHeight="1" x14ac:dyDescent="0.3">
      <c r="A45" s="73"/>
      <c r="B45" s="74"/>
      <c r="C45" s="75"/>
      <c r="D45" s="76"/>
      <c r="E45" s="77"/>
      <c r="F45" s="78"/>
      <c r="G45" s="78"/>
      <c r="H45" s="79"/>
      <c r="I45" s="80"/>
      <c r="J45" s="77"/>
      <c r="K45" s="81" t="b">
        <v>0</v>
      </c>
      <c r="L45" s="78"/>
      <c r="M45" s="82"/>
      <c r="N45" s="78"/>
      <c r="O45" s="78"/>
      <c r="P45" s="78"/>
      <c r="Q45" s="78"/>
      <c r="R45" s="78"/>
      <c r="S45" s="78"/>
      <c r="T45" s="83"/>
    </row>
    <row r="46" spans="1:20" ht="15" customHeight="1" x14ac:dyDescent="0.3">
      <c r="A46" s="73"/>
      <c r="B46" s="74"/>
      <c r="C46" s="75"/>
      <c r="D46" s="76"/>
      <c r="E46" s="77"/>
      <c r="F46" s="78"/>
      <c r="G46" s="78"/>
      <c r="H46" s="79"/>
      <c r="I46" s="80"/>
      <c r="J46" s="77"/>
      <c r="K46" s="81" t="b">
        <v>0</v>
      </c>
      <c r="L46" s="78"/>
      <c r="M46" s="82"/>
      <c r="N46" s="78"/>
      <c r="O46" s="78"/>
      <c r="P46" s="78"/>
      <c r="Q46" s="78"/>
      <c r="R46" s="78"/>
      <c r="S46" s="78"/>
      <c r="T46" s="83"/>
    </row>
    <row r="47" spans="1:20" ht="15" customHeight="1" x14ac:dyDescent="0.3">
      <c r="A47" s="73"/>
      <c r="B47" s="74"/>
      <c r="C47" s="75"/>
      <c r="D47" s="76"/>
      <c r="E47" s="77"/>
      <c r="F47" s="78"/>
      <c r="G47" s="78"/>
      <c r="H47" s="79"/>
      <c r="I47" s="80"/>
      <c r="J47" s="77"/>
      <c r="K47" s="81" t="b">
        <v>0</v>
      </c>
      <c r="L47" s="78"/>
      <c r="M47" s="82"/>
      <c r="N47" s="78"/>
      <c r="O47" s="78"/>
      <c r="P47" s="78"/>
      <c r="Q47" s="78"/>
      <c r="R47" s="78"/>
      <c r="S47" s="78"/>
      <c r="T47" s="83"/>
    </row>
    <row r="48" spans="1:20" ht="15" customHeight="1" x14ac:dyDescent="0.3">
      <c r="A48" s="73"/>
      <c r="B48" s="74"/>
      <c r="C48" s="75"/>
      <c r="D48" s="76"/>
      <c r="E48" s="77"/>
      <c r="F48" s="78"/>
      <c r="G48" s="78"/>
      <c r="H48" s="79"/>
      <c r="I48" s="80"/>
      <c r="J48" s="77"/>
      <c r="K48" s="81" t="b">
        <v>0</v>
      </c>
      <c r="L48" s="78"/>
      <c r="M48" s="82"/>
      <c r="N48" s="78"/>
      <c r="O48" s="78"/>
      <c r="P48" s="78"/>
      <c r="Q48" s="78"/>
      <c r="R48" s="78"/>
      <c r="S48" s="78"/>
      <c r="T48" s="83"/>
    </row>
    <row r="49" spans="1:20" ht="15" customHeight="1" x14ac:dyDescent="0.3">
      <c r="A49" s="73"/>
      <c r="B49" s="74"/>
      <c r="C49" s="75"/>
      <c r="D49" s="76"/>
      <c r="E49" s="77"/>
      <c r="F49" s="78"/>
      <c r="G49" s="78"/>
      <c r="H49" s="79"/>
      <c r="I49" s="80"/>
      <c r="J49" s="77"/>
      <c r="K49" s="81" t="b">
        <v>0</v>
      </c>
      <c r="L49" s="78"/>
      <c r="M49" s="82"/>
      <c r="N49" s="78"/>
      <c r="O49" s="78"/>
      <c r="P49" s="78"/>
      <c r="Q49" s="78"/>
      <c r="R49" s="78"/>
      <c r="S49" s="78"/>
      <c r="T49" s="83"/>
    </row>
    <row r="50" spans="1:20" ht="15" customHeight="1" x14ac:dyDescent="0.3">
      <c r="A50" s="73"/>
      <c r="B50" s="74"/>
      <c r="C50" s="75"/>
      <c r="D50" s="76"/>
      <c r="E50" s="77"/>
      <c r="F50" s="78"/>
      <c r="G50" s="78"/>
      <c r="H50" s="79"/>
      <c r="I50" s="80"/>
      <c r="J50" s="77"/>
      <c r="K50" s="81" t="b">
        <v>0</v>
      </c>
      <c r="L50" s="78"/>
      <c r="M50" s="82"/>
      <c r="N50" s="78"/>
      <c r="O50" s="78"/>
      <c r="P50" s="78"/>
      <c r="Q50" s="78"/>
      <c r="R50" s="78"/>
      <c r="S50" s="78"/>
      <c r="T50" s="83"/>
    </row>
    <row r="51" spans="1:20" ht="15" customHeight="1" x14ac:dyDescent="0.3">
      <c r="A51" s="73"/>
      <c r="B51" s="74"/>
      <c r="C51" s="75"/>
      <c r="D51" s="76"/>
      <c r="E51" s="77"/>
      <c r="F51" s="78"/>
      <c r="G51" s="78"/>
      <c r="H51" s="79"/>
      <c r="I51" s="80"/>
      <c r="J51" s="77"/>
      <c r="K51" s="81" t="b">
        <v>0</v>
      </c>
      <c r="L51" s="78"/>
      <c r="M51" s="82"/>
      <c r="N51" s="78"/>
      <c r="O51" s="78"/>
      <c r="P51" s="78"/>
      <c r="Q51" s="78"/>
      <c r="R51" s="78"/>
      <c r="S51" s="78"/>
      <c r="T51" s="83"/>
    </row>
    <row r="52" spans="1:20" ht="15" customHeight="1" x14ac:dyDescent="0.3">
      <c r="A52" s="73"/>
      <c r="B52" s="74"/>
      <c r="C52" s="75"/>
      <c r="D52" s="76"/>
      <c r="E52" s="77"/>
      <c r="F52" s="78"/>
      <c r="G52" s="78"/>
      <c r="H52" s="79"/>
      <c r="I52" s="80"/>
      <c r="J52" s="77"/>
      <c r="K52" s="81" t="b">
        <v>0</v>
      </c>
      <c r="L52" s="78"/>
      <c r="M52" s="82"/>
      <c r="N52" s="78"/>
      <c r="O52" s="78"/>
      <c r="P52" s="78"/>
      <c r="Q52" s="78"/>
      <c r="R52" s="78"/>
      <c r="S52" s="78"/>
      <c r="T52" s="83"/>
    </row>
    <row r="53" spans="1:20" ht="15" customHeight="1" x14ac:dyDescent="0.3">
      <c r="A53" s="73"/>
      <c r="B53" s="74"/>
      <c r="C53" s="75"/>
      <c r="D53" s="76"/>
      <c r="E53" s="77"/>
      <c r="F53" s="78"/>
      <c r="G53" s="78"/>
      <c r="H53" s="79"/>
      <c r="I53" s="80"/>
      <c r="J53" s="77"/>
      <c r="K53" s="81" t="b">
        <v>0</v>
      </c>
      <c r="L53" s="78"/>
      <c r="M53" s="82"/>
      <c r="N53" s="78"/>
      <c r="O53" s="78"/>
      <c r="P53" s="78"/>
      <c r="Q53" s="78"/>
      <c r="R53" s="78"/>
      <c r="S53" s="78"/>
      <c r="T53" s="83"/>
    </row>
    <row r="54" spans="1:20" ht="15" customHeight="1" x14ac:dyDescent="0.3">
      <c r="A54" s="73"/>
      <c r="B54" s="74"/>
      <c r="C54" s="75"/>
      <c r="D54" s="76"/>
      <c r="E54" s="77"/>
      <c r="F54" s="78"/>
      <c r="G54" s="78"/>
      <c r="H54" s="79"/>
      <c r="I54" s="80"/>
      <c r="J54" s="77"/>
      <c r="K54" s="81" t="b">
        <v>0</v>
      </c>
      <c r="L54" s="78"/>
      <c r="M54" s="82"/>
      <c r="N54" s="78"/>
      <c r="O54" s="78"/>
      <c r="P54" s="78"/>
      <c r="Q54" s="78"/>
      <c r="R54" s="78"/>
      <c r="S54" s="78"/>
      <c r="T54" s="83"/>
    </row>
    <row r="55" spans="1:20" ht="15" customHeight="1" x14ac:dyDescent="0.3">
      <c r="A55" s="73"/>
      <c r="B55" s="74"/>
      <c r="C55" s="75"/>
      <c r="D55" s="76"/>
      <c r="E55" s="77"/>
      <c r="F55" s="78"/>
      <c r="G55" s="78"/>
      <c r="H55" s="79"/>
      <c r="I55" s="80"/>
      <c r="J55" s="77"/>
      <c r="K55" s="81" t="b">
        <v>0</v>
      </c>
      <c r="L55" s="78"/>
      <c r="M55" s="82"/>
      <c r="N55" s="78"/>
      <c r="O55" s="78"/>
      <c r="P55" s="78"/>
      <c r="Q55" s="78"/>
      <c r="R55" s="78"/>
      <c r="S55" s="78"/>
      <c r="T55" s="83"/>
    </row>
    <row r="56" spans="1:20" ht="15" customHeight="1" x14ac:dyDescent="0.3">
      <c r="A56" s="73"/>
      <c r="B56" s="74"/>
      <c r="C56" s="75"/>
      <c r="D56" s="76"/>
      <c r="E56" s="77"/>
      <c r="F56" s="78"/>
      <c r="G56" s="78"/>
      <c r="H56" s="79"/>
      <c r="I56" s="80"/>
      <c r="J56" s="77"/>
      <c r="K56" s="81" t="b">
        <v>0</v>
      </c>
      <c r="L56" s="78"/>
      <c r="M56" s="82"/>
      <c r="N56" s="78"/>
      <c r="O56" s="78"/>
      <c r="P56" s="78"/>
      <c r="Q56" s="78"/>
      <c r="R56" s="78"/>
      <c r="S56" s="78"/>
      <c r="T56" s="83"/>
    </row>
    <row r="57" spans="1:20" ht="15" customHeight="1" x14ac:dyDescent="0.3">
      <c r="A57" s="73"/>
      <c r="B57" s="74"/>
      <c r="C57" s="75"/>
      <c r="D57" s="76"/>
      <c r="E57" s="77"/>
      <c r="F57" s="78"/>
      <c r="G57" s="78"/>
      <c r="H57" s="79"/>
      <c r="I57" s="80"/>
      <c r="J57" s="77"/>
      <c r="K57" s="81" t="b">
        <v>0</v>
      </c>
      <c r="L57" s="78"/>
      <c r="M57" s="82"/>
      <c r="N57" s="78"/>
      <c r="O57" s="78"/>
      <c r="P57" s="78"/>
      <c r="Q57" s="78"/>
      <c r="R57" s="78"/>
      <c r="S57" s="78"/>
      <c r="T57" s="83"/>
    </row>
    <row r="58" spans="1:20" ht="15" customHeight="1" x14ac:dyDescent="0.3">
      <c r="A58" s="73"/>
      <c r="B58" s="74"/>
      <c r="C58" s="75"/>
      <c r="D58" s="76"/>
      <c r="E58" s="77"/>
      <c r="F58" s="78"/>
      <c r="G58" s="78"/>
      <c r="H58" s="79"/>
      <c r="I58" s="80"/>
      <c r="J58" s="77"/>
      <c r="K58" s="81" t="b">
        <v>0</v>
      </c>
      <c r="L58" s="78"/>
      <c r="M58" s="82"/>
      <c r="N58" s="78"/>
      <c r="O58" s="78"/>
      <c r="P58" s="78"/>
      <c r="Q58" s="78"/>
      <c r="R58" s="78"/>
      <c r="S58" s="78"/>
      <c r="T58" s="83"/>
    </row>
    <row r="59" spans="1:20" ht="15" customHeight="1" x14ac:dyDescent="0.3">
      <c r="A59" s="73"/>
      <c r="B59" s="74"/>
      <c r="C59" s="75"/>
      <c r="D59" s="76"/>
      <c r="E59" s="77"/>
      <c r="F59" s="78"/>
      <c r="G59" s="78"/>
      <c r="H59" s="79"/>
      <c r="I59" s="80"/>
      <c r="J59" s="77"/>
      <c r="K59" s="81" t="b">
        <v>0</v>
      </c>
      <c r="L59" s="78"/>
      <c r="M59" s="82"/>
      <c r="N59" s="78"/>
      <c r="O59" s="78"/>
      <c r="P59" s="78"/>
      <c r="Q59" s="78"/>
      <c r="R59" s="78"/>
      <c r="S59" s="78"/>
      <c r="T59" s="83"/>
    </row>
    <row r="60" spans="1:20" ht="15" customHeight="1" x14ac:dyDescent="0.3">
      <c r="A60" s="73"/>
      <c r="B60" s="74"/>
      <c r="C60" s="75"/>
      <c r="D60" s="76"/>
      <c r="E60" s="77"/>
      <c r="F60" s="78"/>
      <c r="G60" s="78"/>
      <c r="H60" s="79"/>
      <c r="I60" s="80"/>
      <c r="J60" s="77"/>
      <c r="K60" s="81" t="b">
        <v>0</v>
      </c>
      <c r="L60" s="78"/>
      <c r="M60" s="82"/>
      <c r="N60" s="78"/>
      <c r="O60" s="78"/>
      <c r="P60" s="78"/>
      <c r="Q60" s="78"/>
      <c r="R60" s="78"/>
      <c r="S60" s="78"/>
      <c r="T60" s="83"/>
    </row>
    <row r="61" spans="1:20" ht="15" customHeight="1" x14ac:dyDescent="0.3">
      <c r="A61" s="73"/>
      <c r="B61" s="74"/>
      <c r="C61" s="75"/>
      <c r="D61" s="76"/>
      <c r="E61" s="77"/>
      <c r="F61" s="78"/>
      <c r="G61" s="78"/>
      <c r="H61" s="79"/>
      <c r="I61" s="80"/>
      <c r="J61" s="77"/>
      <c r="K61" s="81" t="b">
        <v>0</v>
      </c>
      <c r="L61" s="78"/>
      <c r="M61" s="82"/>
      <c r="N61" s="78"/>
      <c r="O61" s="78"/>
      <c r="P61" s="78"/>
      <c r="Q61" s="78"/>
      <c r="R61" s="78"/>
      <c r="S61" s="78"/>
      <c r="T61" s="83"/>
    </row>
    <row r="62" spans="1:20" ht="15" customHeight="1" x14ac:dyDescent="0.3">
      <c r="A62" s="73"/>
      <c r="B62" s="74"/>
      <c r="C62" s="75"/>
      <c r="D62" s="76"/>
      <c r="E62" s="77"/>
      <c r="F62" s="78"/>
      <c r="G62" s="78"/>
      <c r="H62" s="79"/>
      <c r="I62" s="80"/>
      <c r="J62" s="77"/>
      <c r="K62" s="81" t="b">
        <v>0</v>
      </c>
      <c r="L62" s="78"/>
      <c r="M62" s="82"/>
      <c r="N62" s="78"/>
      <c r="O62" s="78"/>
      <c r="P62" s="78"/>
      <c r="Q62" s="78"/>
      <c r="R62" s="78"/>
      <c r="S62" s="78"/>
      <c r="T62" s="83"/>
    </row>
    <row r="63" spans="1:20" ht="15" customHeight="1" x14ac:dyDescent="0.3">
      <c r="A63" s="73"/>
      <c r="B63" s="74"/>
      <c r="C63" s="75"/>
      <c r="D63" s="76"/>
      <c r="E63" s="77"/>
      <c r="F63" s="78"/>
      <c r="G63" s="78"/>
      <c r="H63" s="79"/>
      <c r="I63" s="80"/>
      <c r="J63" s="77"/>
      <c r="K63" s="81" t="b">
        <v>0</v>
      </c>
      <c r="L63" s="78"/>
      <c r="M63" s="82"/>
      <c r="N63" s="78"/>
      <c r="O63" s="78"/>
      <c r="P63" s="78"/>
      <c r="Q63" s="78"/>
      <c r="R63" s="78"/>
      <c r="S63" s="78"/>
      <c r="T63" s="83"/>
    </row>
    <row r="64" spans="1:20" ht="15" customHeight="1" x14ac:dyDescent="0.3">
      <c r="A64" s="73"/>
      <c r="B64" s="74"/>
      <c r="C64" s="75"/>
      <c r="D64" s="76"/>
      <c r="E64" s="77"/>
      <c r="F64" s="78"/>
      <c r="G64" s="78"/>
      <c r="H64" s="79"/>
      <c r="I64" s="80"/>
      <c r="J64" s="77"/>
      <c r="K64" s="81" t="b">
        <v>0</v>
      </c>
      <c r="L64" s="78"/>
      <c r="M64" s="82"/>
      <c r="N64" s="78"/>
      <c r="O64" s="78"/>
      <c r="P64" s="78"/>
      <c r="Q64" s="78"/>
      <c r="R64" s="78"/>
      <c r="S64" s="78"/>
      <c r="T64" s="83"/>
    </row>
    <row r="65" spans="1:20" ht="15" customHeight="1" x14ac:dyDescent="0.3">
      <c r="A65" s="73"/>
      <c r="B65" s="74"/>
      <c r="C65" s="75"/>
      <c r="D65" s="76"/>
      <c r="E65" s="77"/>
      <c r="F65" s="78"/>
      <c r="G65" s="78"/>
      <c r="H65" s="79"/>
      <c r="I65" s="80"/>
      <c r="J65" s="77"/>
      <c r="K65" s="81" t="b">
        <v>0</v>
      </c>
      <c r="L65" s="78"/>
      <c r="M65" s="82"/>
      <c r="N65" s="78"/>
      <c r="O65" s="78"/>
      <c r="P65" s="78"/>
      <c r="Q65" s="78"/>
      <c r="R65" s="78"/>
      <c r="S65" s="78"/>
      <c r="T65" s="83"/>
    </row>
    <row r="66" spans="1:20" ht="15" customHeight="1" x14ac:dyDescent="0.3">
      <c r="A66" s="73"/>
      <c r="B66" s="74"/>
      <c r="C66" s="75"/>
      <c r="D66" s="76"/>
      <c r="E66" s="77"/>
      <c r="F66" s="78"/>
      <c r="G66" s="78"/>
      <c r="H66" s="79"/>
      <c r="I66" s="80"/>
      <c r="J66" s="77"/>
      <c r="K66" s="81" t="b">
        <v>0</v>
      </c>
      <c r="L66" s="78"/>
      <c r="M66" s="82"/>
      <c r="N66" s="78"/>
      <c r="O66" s="78"/>
      <c r="P66" s="78"/>
      <c r="Q66" s="78"/>
      <c r="R66" s="78"/>
      <c r="S66" s="78"/>
      <c r="T66" s="83"/>
    </row>
    <row r="67" spans="1:20" ht="15" customHeight="1" x14ac:dyDescent="0.3">
      <c r="A67" s="73"/>
      <c r="B67" s="74"/>
      <c r="C67" s="75"/>
      <c r="D67" s="76"/>
      <c r="E67" s="77"/>
      <c r="F67" s="78"/>
      <c r="G67" s="78"/>
      <c r="H67" s="79"/>
      <c r="I67" s="80"/>
      <c r="J67" s="77"/>
      <c r="K67" s="81" t="b">
        <v>0</v>
      </c>
      <c r="L67" s="78"/>
      <c r="M67" s="82"/>
      <c r="N67" s="78"/>
      <c r="O67" s="78"/>
      <c r="P67" s="78"/>
      <c r="Q67" s="78"/>
      <c r="R67" s="78"/>
      <c r="S67" s="78"/>
      <c r="T67" s="83"/>
    </row>
    <row r="68" spans="1:20" ht="15" customHeight="1" x14ac:dyDescent="0.3">
      <c r="A68" s="73"/>
      <c r="B68" s="74"/>
      <c r="C68" s="75"/>
      <c r="D68" s="76"/>
      <c r="E68" s="77"/>
      <c r="F68" s="78"/>
      <c r="G68" s="78"/>
      <c r="H68" s="79"/>
      <c r="I68" s="80"/>
      <c r="J68" s="77"/>
      <c r="K68" s="81" t="b">
        <v>0</v>
      </c>
      <c r="L68" s="78"/>
      <c r="M68" s="82"/>
      <c r="N68" s="78"/>
      <c r="O68" s="78"/>
      <c r="P68" s="78"/>
      <c r="Q68" s="78"/>
      <c r="R68" s="78"/>
      <c r="S68" s="78"/>
      <c r="T68" s="83"/>
    </row>
    <row r="69" spans="1:20" ht="15" customHeight="1" x14ac:dyDescent="0.3">
      <c r="A69" s="73"/>
      <c r="B69" s="74"/>
      <c r="C69" s="75"/>
      <c r="D69" s="76"/>
      <c r="E69" s="77"/>
      <c r="F69" s="78"/>
      <c r="G69" s="78"/>
      <c r="H69" s="79"/>
      <c r="I69" s="80"/>
      <c r="J69" s="77"/>
      <c r="K69" s="81" t="b">
        <v>0</v>
      </c>
      <c r="L69" s="78"/>
      <c r="M69" s="82"/>
      <c r="N69" s="78"/>
      <c r="O69" s="78"/>
      <c r="P69" s="78"/>
      <c r="Q69" s="78"/>
      <c r="R69" s="78"/>
      <c r="S69" s="78"/>
      <c r="T69" s="83"/>
    </row>
    <row r="70" spans="1:20" ht="15" customHeight="1" x14ac:dyDescent="0.3">
      <c r="A70" s="73"/>
      <c r="B70" s="74"/>
      <c r="C70" s="75"/>
      <c r="D70" s="76"/>
      <c r="E70" s="77"/>
      <c r="F70" s="78"/>
      <c r="G70" s="78"/>
      <c r="H70" s="79"/>
      <c r="I70" s="80"/>
      <c r="J70" s="77"/>
      <c r="K70" s="81" t="b">
        <v>0</v>
      </c>
      <c r="L70" s="78"/>
      <c r="M70" s="82"/>
      <c r="N70" s="78"/>
      <c r="O70" s="78"/>
      <c r="P70" s="78"/>
      <c r="Q70" s="78"/>
      <c r="R70" s="78"/>
      <c r="S70" s="78"/>
      <c r="T70" s="83"/>
    </row>
    <row r="71" spans="1:20" ht="15" customHeight="1" x14ac:dyDescent="0.3">
      <c r="A71" s="73"/>
      <c r="B71" s="74"/>
      <c r="C71" s="75"/>
      <c r="D71" s="76"/>
      <c r="E71" s="77"/>
      <c r="F71" s="78"/>
      <c r="G71" s="78"/>
      <c r="H71" s="79"/>
      <c r="I71" s="80"/>
      <c r="J71" s="77"/>
      <c r="K71" s="81" t="b">
        <v>0</v>
      </c>
      <c r="L71" s="78"/>
      <c r="M71" s="82"/>
      <c r="N71" s="78"/>
      <c r="O71" s="78"/>
      <c r="P71" s="78"/>
      <c r="Q71" s="78"/>
      <c r="R71" s="78"/>
      <c r="S71" s="78"/>
      <c r="T71" s="83"/>
    </row>
    <row r="72" spans="1:20" ht="15" customHeight="1" x14ac:dyDescent="0.3">
      <c r="A72" s="73"/>
      <c r="B72" s="74"/>
      <c r="C72" s="75"/>
      <c r="D72" s="76"/>
      <c r="E72" s="77"/>
      <c r="F72" s="78"/>
      <c r="G72" s="78"/>
      <c r="H72" s="79"/>
      <c r="I72" s="80"/>
      <c r="J72" s="77"/>
      <c r="K72" s="81" t="b">
        <v>0</v>
      </c>
      <c r="L72" s="78"/>
      <c r="M72" s="82"/>
      <c r="N72" s="78"/>
      <c r="O72" s="78"/>
      <c r="P72" s="78"/>
      <c r="Q72" s="78"/>
      <c r="R72" s="78"/>
      <c r="S72" s="78"/>
      <c r="T72" s="83"/>
    </row>
    <row r="73" spans="1:20" ht="15" customHeight="1" x14ac:dyDescent="0.3">
      <c r="A73" s="73"/>
      <c r="B73" s="74"/>
      <c r="C73" s="75"/>
      <c r="D73" s="76"/>
      <c r="E73" s="77"/>
      <c r="F73" s="78"/>
      <c r="G73" s="78"/>
      <c r="H73" s="79"/>
      <c r="I73" s="80"/>
      <c r="J73" s="77"/>
      <c r="K73" s="81" t="b">
        <v>0</v>
      </c>
      <c r="L73" s="78"/>
      <c r="M73" s="82"/>
      <c r="N73" s="78"/>
      <c r="O73" s="78"/>
      <c r="P73" s="78"/>
      <c r="Q73" s="78"/>
      <c r="R73" s="78"/>
      <c r="S73" s="78"/>
      <c r="T73" s="83"/>
    </row>
    <row r="74" spans="1:20" ht="15" customHeight="1" x14ac:dyDescent="0.3">
      <c r="A74" s="73"/>
      <c r="B74" s="74"/>
      <c r="C74" s="75"/>
      <c r="D74" s="76"/>
      <c r="E74" s="77"/>
      <c r="F74" s="78"/>
      <c r="G74" s="78"/>
      <c r="H74" s="79"/>
      <c r="I74" s="80"/>
      <c r="J74" s="77"/>
      <c r="K74" s="81" t="b">
        <v>0</v>
      </c>
      <c r="L74" s="78"/>
      <c r="M74" s="82"/>
      <c r="N74" s="78"/>
      <c r="O74" s="78"/>
      <c r="P74" s="78"/>
      <c r="Q74" s="78"/>
      <c r="R74" s="78"/>
      <c r="S74" s="78"/>
      <c r="T74" s="83"/>
    </row>
    <row r="75" spans="1:20" ht="15" customHeight="1" x14ac:dyDescent="0.3">
      <c r="A75" s="73"/>
      <c r="B75" s="74"/>
      <c r="C75" s="75"/>
      <c r="D75" s="76"/>
      <c r="E75" s="77"/>
      <c r="F75" s="78"/>
      <c r="G75" s="78"/>
      <c r="H75" s="79"/>
      <c r="I75" s="80"/>
      <c r="J75" s="77"/>
      <c r="K75" s="81" t="b">
        <v>0</v>
      </c>
      <c r="L75" s="78"/>
      <c r="M75" s="82"/>
      <c r="N75" s="78"/>
      <c r="O75" s="78"/>
      <c r="P75" s="78"/>
      <c r="Q75" s="78"/>
      <c r="R75" s="78"/>
      <c r="S75" s="78"/>
      <c r="T75" s="83"/>
    </row>
    <row r="76" spans="1:20" ht="15" customHeight="1" x14ac:dyDescent="0.3">
      <c r="A76" s="73"/>
      <c r="B76" s="74"/>
      <c r="C76" s="75"/>
      <c r="D76" s="76"/>
      <c r="E76" s="77"/>
      <c r="F76" s="78"/>
      <c r="G76" s="78"/>
      <c r="H76" s="79"/>
      <c r="I76" s="80"/>
      <c r="J76" s="77"/>
      <c r="K76" s="81" t="b">
        <v>0</v>
      </c>
      <c r="L76" s="78"/>
      <c r="M76" s="82"/>
      <c r="N76" s="78"/>
      <c r="O76" s="78"/>
      <c r="P76" s="78"/>
      <c r="Q76" s="78"/>
      <c r="R76" s="78"/>
      <c r="S76" s="78"/>
      <c r="T76" s="83"/>
    </row>
    <row r="77" spans="1:20" ht="15" customHeight="1" x14ac:dyDescent="0.3">
      <c r="A77" s="73"/>
      <c r="B77" s="74"/>
      <c r="C77" s="75"/>
      <c r="D77" s="76"/>
      <c r="E77" s="77"/>
      <c r="F77" s="78"/>
      <c r="G77" s="78"/>
      <c r="H77" s="79"/>
      <c r="I77" s="80"/>
      <c r="J77" s="77"/>
      <c r="K77" s="81" t="b">
        <v>0</v>
      </c>
      <c r="L77" s="78"/>
      <c r="M77" s="82"/>
      <c r="N77" s="78"/>
      <c r="O77" s="78"/>
      <c r="P77" s="78"/>
      <c r="Q77" s="78"/>
      <c r="R77" s="78"/>
      <c r="S77" s="78"/>
      <c r="T77" s="83"/>
    </row>
    <row r="78" spans="1:20" ht="15" customHeight="1" x14ac:dyDescent="0.3">
      <c r="A78" s="73"/>
      <c r="B78" s="74"/>
      <c r="C78" s="75"/>
      <c r="D78" s="76"/>
      <c r="E78" s="77"/>
      <c r="F78" s="78"/>
      <c r="G78" s="78"/>
      <c r="H78" s="79"/>
      <c r="I78" s="80"/>
      <c r="J78" s="77"/>
      <c r="K78" s="81" t="b">
        <v>0</v>
      </c>
      <c r="L78" s="78"/>
      <c r="M78" s="82"/>
      <c r="N78" s="78"/>
      <c r="O78" s="78"/>
      <c r="P78" s="78"/>
      <c r="Q78" s="78"/>
      <c r="R78" s="78"/>
      <c r="S78" s="78"/>
      <c r="T78" s="83"/>
    </row>
    <row r="79" spans="1:20" ht="15" customHeight="1" x14ac:dyDescent="0.3">
      <c r="A79" s="73"/>
      <c r="B79" s="74"/>
      <c r="C79" s="75"/>
      <c r="D79" s="76"/>
      <c r="E79" s="77"/>
      <c r="F79" s="78"/>
      <c r="G79" s="78"/>
      <c r="H79" s="79"/>
      <c r="I79" s="80"/>
      <c r="J79" s="77"/>
      <c r="K79" s="81" t="b">
        <v>0</v>
      </c>
      <c r="L79" s="78"/>
      <c r="M79" s="82"/>
      <c r="N79" s="78"/>
      <c r="O79" s="78"/>
      <c r="P79" s="78"/>
      <c r="Q79" s="78"/>
      <c r="R79" s="78"/>
      <c r="S79" s="78"/>
      <c r="T79" s="83"/>
    </row>
    <row r="80" spans="1:20" ht="15" customHeight="1" x14ac:dyDescent="0.3">
      <c r="A80" s="73"/>
      <c r="B80" s="74"/>
      <c r="C80" s="75"/>
      <c r="D80" s="76"/>
      <c r="E80" s="77"/>
      <c r="F80" s="78"/>
      <c r="G80" s="78"/>
      <c r="H80" s="79"/>
      <c r="I80" s="80"/>
      <c r="J80" s="77"/>
      <c r="K80" s="81" t="b">
        <v>0</v>
      </c>
      <c r="L80" s="78"/>
      <c r="M80" s="82"/>
      <c r="N80" s="78"/>
      <c r="O80" s="78"/>
      <c r="P80" s="78"/>
      <c r="Q80" s="78"/>
      <c r="R80" s="78"/>
      <c r="S80" s="78"/>
      <c r="T80" s="83"/>
    </row>
    <row r="81" spans="1:20" ht="15" customHeight="1" x14ac:dyDescent="0.3">
      <c r="A81" s="73"/>
      <c r="B81" s="74"/>
      <c r="C81" s="75"/>
      <c r="D81" s="76"/>
      <c r="E81" s="77"/>
      <c r="F81" s="78"/>
      <c r="G81" s="78"/>
      <c r="H81" s="79"/>
      <c r="I81" s="80"/>
      <c r="J81" s="77"/>
      <c r="K81" s="81" t="b">
        <v>0</v>
      </c>
      <c r="L81" s="78"/>
      <c r="M81" s="82"/>
      <c r="N81" s="78"/>
      <c r="O81" s="78"/>
      <c r="P81" s="78"/>
      <c r="Q81" s="78"/>
      <c r="R81" s="78"/>
      <c r="S81" s="78"/>
      <c r="T81" s="83"/>
    </row>
    <row r="82" spans="1:20" ht="15" customHeight="1" x14ac:dyDescent="0.3">
      <c r="A82" s="73"/>
      <c r="B82" s="74"/>
      <c r="C82" s="75"/>
      <c r="D82" s="76"/>
      <c r="E82" s="77"/>
      <c r="F82" s="78"/>
      <c r="G82" s="78"/>
      <c r="H82" s="79"/>
      <c r="I82" s="80"/>
      <c r="J82" s="77"/>
      <c r="K82" s="81" t="b">
        <v>0</v>
      </c>
      <c r="L82" s="78"/>
      <c r="M82" s="82"/>
      <c r="N82" s="78"/>
      <c r="O82" s="78"/>
      <c r="P82" s="78"/>
      <c r="Q82" s="78"/>
      <c r="R82" s="78"/>
      <c r="S82" s="78"/>
      <c r="T82" s="83"/>
    </row>
    <row r="83" spans="1:20" ht="15" customHeight="1" x14ac:dyDescent="0.3">
      <c r="A83" s="73"/>
      <c r="B83" s="74"/>
      <c r="C83" s="75"/>
      <c r="D83" s="76"/>
      <c r="E83" s="77"/>
      <c r="F83" s="78"/>
      <c r="G83" s="78"/>
      <c r="H83" s="79"/>
      <c r="I83" s="80"/>
      <c r="J83" s="77"/>
      <c r="K83" s="81" t="b">
        <v>0</v>
      </c>
      <c r="L83" s="78"/>
      <c r="M83" s="82"/>
      <c r="N83" s="78"/>
      <c r="O83" s="78"/>
      <c r="P83" s="78"/>
      <c r="Q83" s="78"/>
      <c r="R83" s="78"/>
      <c r="S83" s="78"/>
      <c r="T83" s="83"/>
    </row>
    <row r="84" spans="1:20" ht="15" customHeight="1" x14ac:dyDescent="0.3">
      <c r="A84" s="73"/>
      <c r="B84" s="74"/>
      <c r="C84" s="75"/>
      <c r="D84" s="76"/>
      <c r="E84" s="77"/>
      <c r="F84" s="78"/>
      <c r="G84" s="78"/>
      <c r="H84" s="79"/>
      <c r="I84" s="80"/>
      <c r="J84" s="77"/>
      <c r="K84" s="81" t="b">
        <v>0</v>
      </c>
      <c r="L84" s="78"/>
      <c r="M84" s="82"/>
      <c r="N84" s="78"/>
      <c r="O84" s="78"/>
      <c r="P84" s="78"/>
      <c r="Q84" s="78"/>
      <c r="R84" s="78"/>
      <c r="S84" s="78"/>
      <c r="T84" s="83"/>
    </row>
    <row r="85" spans="1:20" ht="15" customHeight="1" x14ac:dyDescent="0.3">
      <c r="A85" s="73"/>
      <c r="B85" s="74"/>
      <c r="C85" s="75"/>
      <c r="D85" s="76"/>
      <c r="E85" s="77"/>
      <c r="F85" s="78"/>
      <c r="G85" s="78"/>
      <c r="H85" s="79"/>
      <c r="I85" s="80"/>
      <c r="J85" s="77"/>
      <c r="K85" s="81" t="b">
        <v>0</v>
      </c>
      <c r="L85" s="78"/>
      <c r="M85" s="82"/>
      <c r="N85" s="78"/>
      <c r="O85" s="78"/>
      <c r="P85" s="78"/>
      <c r="Q85" s="78"/>
      <c r="R85" s="78"/>
      <c r="S85" s="78"/>
      <c r="T85" s="83"/>
    </row>
    <row r="86" spans="1:20" ht="15" customHeight="1" x14ac:dyDescent="0.3">
      <c r="A86" s="73"/>
      <c r="B86" s="74"/>
      <c r="C86" s="75"/>
      <c r="D86" s="76"/>
      <c r="E86" s="77"/>
      <c r="F86" s="78"/>
      <c r="G86" s="78"/>
      <c r="H86" s="79"/>
      <c r="I86" s="80"/>
      <c r="J86" s="77"/>
      <c r="K86" s="81" t="b">
        <v>0</v>
      </c>
      <c r="L86" s="78"/>
      <c r="M86" s="82"/>
      <c r="N86" s="78"/>
      <c r="O86" s="78"/>
      <c r="P86" s="78"/>
      <c r="Q86" s="78"/>
      <c r="R86" s="78"/>
      <c r="S86" s="78"/>
      <c r="T86" s="83"/>
    </row>
    <row r="87" spans="1:20" ht="15" customHeight="1" x14ac:dyDescent="0.3">
      <c r="A87" s="73"/>
      <c r="B87" s="74"/>
      <c r="C87" s="75"/>
      <c r="D87" s="76"/>
      <c r="E87" s="77"/>
      <c r="F87" s="78"/>
      <c r="G87" s="78"/>
      <c r="H87" s="79"/>
      <c r="I87" s="80"/>
      <c r="J87" s="77"/>
      <c r="K87" s="81" t="b">
        <v>0</v>
      </c>
      <c r="L87" s="78"/>
      <c r="M87" s="82"/>
      <c r="N87" s="78"/>
      <c r="O87" s="78"/>
      <c r="P87" s="78"/>
      <c r="Q87" s="78"/>
      <c r="R87" s="78"/>
      <c r="S87" s="78"/>
      <c r="T87" s="83"/>
    </row>
    <row r="88" spans="1:20" ht="15" customHeight="1" x14ac:dyDescent="0.3">
      <c r="A88" s="73"/>
      <c r="B88" s="74"/>
      <c r="C88" s="75"/>
      <c r="D88" s="76"/>
      <c r="E88" s="77"/>
      <c r="F88" s="78"/>
      <c r="G88" s="78"/>
      <c r="H88" s="79"/>
      <c r="I88" s="80"/>
      <c r="J88" s="77"/>
      <c r="K88" s="81" t="b">
        <v>0</v>
      </c>
      <c r="L88" s="78"/>
      <c r="M88" s="82"/>
      <c r="N88" s="78"/>
      <c r="O88" s="78"/>
      <c r="P88" s="78"/>
      <c r="Q88" s="78"/>
      <c r="R88" s="78"/>
      <c r="S88" s="78"/>
      <c r="T88" s="83"/>
    </row>
    <row r="89" spans="1:20" ht="15" customHeight="1" x14ac:dyDescent="0.3">
      <c r="A89" s="73"/>
      <c r="B89" s="74"/>
      <c r="C89" s="75"/>
      <c r="D89" s="76"/>
      <c r="E89" s="77"/>
      <c r="F89" s="78"/>
      <c r="G89" s="78"/>
      <c r="H89" s="79"/>
      <c r="I89" s="80"/>
      <c r="J89" s="77"/>
      <c r="K89" s="81" t="b">
        <v>0</v>
      </c>
      <c r="L89" s="78"/>
      <c r="M89" s="82"/>
      <c r="N89" s="78"/>
      <c r="O89" s="78"/>
      <c r="P89" s="78"/>
      <c r="Q89" s="78"/>
      <c r="R89" s="78"/>
      <c r="S89" s="78"/>
      <c r="T89" s="83"/>
    </row>
    <row r="90" spans="1:20" ht="15" customHeight="1" x14ac:dyDescent="0.3">
      <c r="A90" s="73"/>
      <c r="B90" s="74"/>
      <c r="C90" s="75"/>
      <c r="D90" s="76"/>
      <c r="E90" s="77"/>
      <c r="F90" s="78"/>
      <c r="G90" s="78"/>
      <c r="H90" s="79"/>
      <c r="I90" s="80"/>
      <c r="J90" s="77"/>
      <c r="K90" s="81" t="b">
        <v>0</v>
      </c>
      <c r="L90" s="78"/>
      <c r="M90" s="82"/>
      <c r="N90" s="78"/>
      <c r="O90" s="78"/>
      <c r="P90" s="78"/>
      <c r="Q90" s="78"/>
      <c r="R90" s="78"/>
      <c r="S90" s="78"/>
      <c r="T90" s="83"/>
    </row>
    <row r="91" spans="1:20" ht="15" customHeight="1" x14ac:dyDescent="0.3">
      <c r="A91" s="73"/>
      <c r="B91" s="74"/>
      <c r="C91" s="75"/>
      <c r="D91" s="76"/>
      <c r="E91" s="77"/>
      <c r="F91" s="78"/>
      <c r="G91" s="78"/>
      <c r="H91" s="79"/>
      <c r="I91" s="80"/>
      <c r="J91" s="77"/>
      <c r="K91" s="81" t="b">
        <v>0</v>
      </c>
      <c r="L91" s="78"/>
      <c r="M91" s="82"/>
      <c r="N91" s="78"/>
      <c r="O91" s="78"/>
      <c r="P91" s="78"/>
      <c r="Q91" s="78"/>
      <c r="R91" s="78"/>
      <c r="S91" s="78"/>
      <c r="T91" s="83"/>
    </row>
    <row r="92" spans="1:20" ht="15" customHeight="1" x14ac:dyDescent="0.3">
      <c r="A92" s="73"/>
      <c r="B92" s="74"/>
      <c r="C92" s="75"/>
      <c r="D92" s="76"/>
      <c r="E92" s="77"/>
      <c r="F92" s="78"/>
      <c r="G92" s="78"/>
      <c r="H92" s="79"/>
      <c r="I92" s="80"/>
      <c r="J92" s="77"/>
      <c r="K92" s="81" t="b">
        <v>0</v>
      </c>
      <c r="L92" s="78"/>
      <c r="M92" s="82"/>
      <c r="N92" s="78"/>
      <c r="O92" s="78"/>
      <c r="P92" s="78"/>
      <c r="Q92" s="78"/>
      <c r="R92" s="78"/>
      <c r="S92" s="78"/>
      <c r="T92" s="83"/>
    </row>
    <row r="93" spans="1:20" ht="15" customHeight="1" x14ac:dyDescent="0.3">
      <c r="A93" s="73"/>
      <c r="B93" s="74"/>
      <c r="C93" s="75"/>
      <c r="D93" s="76"/>
      <c r="E93" s="77"/>
      <c r="F93" s="78"/>
      <c r="G93" s="78"/>
      <c r="H93" s="79"/>
      <c r="I93" s="80"/>
      <c r="J93" s="77"/>
      <c r="K93" s="81" t="b">
        <v>0</v>
      </c>
      <c r="L93" s="78"/>
      <c r="M93" s="82"/>
      <c r="N93" s="78"/>
      <c r="O93" s="78"/>
      <c r="P93" s="78"/>
      <c r="Q93" s="78"/>
      <c r="R93" s="78"/>
      <c r="S93" s="78"/>
      <c r="T93" s="83"/>
    </row>
    <row r="94" spans="1:20" ht="15" customHeight="1" x14ac:dyDescent="0.3">
      <c r="A94" s="73"/>
      <c r="B94" s="74"/>
      <c r="C94" s="75"/>
      <c r="D94" s="76"/>
      <c r="E94" s="77"/>
      <c r="F94" s="78"/>
      <c r="G94" s="78"/>
      <c r="H94" s="79"/>
      <c r="I94" s="80"/>
      <c r="J94" s="77"/>
      <c r="K94" s="81" t="b">
        <v>0</v>
      </c>
      <c r="L94" s="78"/>
      <c r="M94" s="82"/>
      <c r="N94" s="78"/>
      <c r="O94" s="78"/>
      <c r="P94" s="78"/>
      <c r="Q94" s="78"/>
      <c r="R94" s="78"/>
      <c r="S94" s="78"/>
      <c r="T94" s="83"/>
    </row>
    <row r="95" spans="1:20" ht="15" customHeight="1" x14ac:dyDescent="0.3">
      <c r="A95" s="73"/>
      <c r="B95" s="74"/>
      <c r="C95" s="75"/>
      <c r="D95" s="76"/>
      <c r="E95" s="77"/>
      <c r="F95" s="78"/>
      <c r="G95" s="78"/>
      <c r="H95" s="79"/>
      <c r="I95" s="80"/>
      <c r="J95" s="77"/>
      <c r="K95" s="81" t="b">
        <v>0</v>
      </c>
      <c r="L95" s="78"/>
      <c r="M95" s="82"/>
      <c r="N95" s="78"/>
      <c r="O95" s="78"/>
      <c r="P95" s="78"/>
      <c r="Q95" s="78"/>
      <c r="R95" s="78"/>
      <c r="S95" s="78"/>
      <c r="T95" s="83"/>
    </row>
    <row r="96" spans="1:20" ht="15" customHeight="1" x14ac:dyDescent="0.3">
      <c r="A96" s="73"/>
      <c r="B96" s="74"/>
      <c r="C96" s="75"/>
      <c r="D96" s="76"/>
      <c r="E96" s="77"/>
      <c r="F96" s="78"/>
      <c r="G96" s="78"/>
      <c r="H96" s="79"/>
      <c r="I96" s="80"/>
      <c r="J96" s="77"/>
      <c r="K96" s="81" t="b">
        <v>0</v>
      </c>
      <c r="L96" s="78"/>
      <c r="M96" s="82"/>
      <c r="N96" s="78"/>
      <c r="O96" s="78"/>
      <c r="P96" s="78"/>
      <c r="Q96" s="78"/>
      <c r="R96" s="78"/>
      <c r="S96" s="78"/>
      <c r="T96" s="83"/>
    </row>
    <row r="97" spans="1:20" ht="15" customHeight="1" x14ac:dyDescent="0.3">
      <c r="A97" s="73"/>
      <c r="B97" s="74"/>
      <c r="C97" s="75"/>
      <c r="D97" s="76"/>
      <c r="E97" s="77"/>
      <c r="F97" s="78"/>
      <c r="G97" s="78"/>
      <c r="H97" s="79"/>
      <c r="I97" s="80"/>
      <c r="J97" s="77"/>
      <c r="K97" s="81" t="b">
        <v>0</v>
      </c>
      <c r="L97" s="78"/>
      <c r="M97" s="82"/>
      <c r="N97" s="78"/>
      <c r="O97" s="78"/>
      <c r="P97" s="78"/>
      <c r="Q97" s="78"/>
      <c r="R97" s="78"/>
      <c r="S97" s="78"/>
      <c r="T97" s="83"/>
    </row>
    <row r="98" spans="1:20" ht="15" customHeight="1" x14ac:dyDescent="0.3">
      <c r="A98" s="73"/>
      <c r="B98" s="74"/>
      <c r="C98" s="75"/>
      <c r="D98" s="76"/>
      <c r="E98" s="77"/>
      <c r="F98" s="78"/>
      <c r="G98" s="78"/>
      <c r="H98" s="79"/>
      <c r="I98" s="80"/>
      <c r="J98" s="77"/>
      <c r="K98" s="81" t="b">
        <v>0</v>
      </c>
      <c r="L98" s="78"/>
      <c r="M98" s="82"/>
      <c r="N98" s="78"/>
      <c r="O98" s="78"/>
      <c r="P98" s="78"/>
      <c r="Q98" s="78"/>
      <c r="R98" s="78"/>
      <c r="S98" s="78"/>
      <c r="T98" s="83"/>
    </row>
    <row r="99" spans="1:20" ht="15" customHeight="1" x14ac:dyDescent="0.3">
      <c r="A99" s="73"/>
      <c r="B99" s="74"/>
      <c r="C99" s="75"/>
      <c r="D99" s="76"/>
      <c r="E99" s="77"/>
      <c r="F99" s="78"/>
      <c r="G99" s="78"/>
      <c r="H99" s="79"/>
      <c r="I99" s="80"/>
      <c r="J99" s="77"/>
      <c r="K99" s="81" t="b">
        <v>0</v>
      </c>
      <c r="L99" s="78"/>
      <c r="M99" s="82"/>
      <c r="N99" s="78"/>
      <c r="O99" s="78"/>
      <c r="P99" s="78"/>
      <c r="Q99" s="78"/>
      <c r="R99" s="78"/>
      <c r="S99" s="78"/>
      <c r="T99" s="83"/>
    </row>
    <row r="100" spans="1:20" ht="15" customHeight="1" x14ac:dyDescent="0.3">
      <c r="A100" s="73"/>
      <c r="B100" s="74"/>
      <c r="C100" s="75"/>
      <c r="D100" s="76"/>
      <c r="E100" s="77"/>
      <c r="F100" s="78"/>
      <c r="G100" s="78"/>
      <c r="H100" s="79"/>
      <c r="I100" s="80"/>
      <c r="J100" s="77"/>
      <c r="K100" s="81" t="b">
        <v>0</v>
      </c>
      <c r="L100" s="78"/>
      <c r="M100" s="82"/>
      <c r="N100" s="78"/>
      <c r="O100" s="78"/>
      <c r="P100" s="78"/>
      <c r="Q100" s="78"/>
      <c r="R100" s="78"/>
      <c r="S100" s="78"/>
      <c r="T100" s="83"/>
    </row>
    <row r="101" spans="1:20" ht="15" customHeight="1" x14ac:dyDescent="0.3">
      <c r="A101" s="73"/>
      <c r="B101" s="74"/>
      <c r="C101" s="75"/>
      <c r="D101" s="76"/>
      <c r="E101" s="77"/>
      <c r="F101" s="78"/>
      <c r="G101" s="78"/>
      <c r="H101" s="79"/>
      <c r="I101" s="80"/>
      <c r="J101" s="77"/>
      <c r="K101" s="81" t="b">
        <v>0</v>
      </c>
      <c r="L101" s="78"/>
      <c r="M101" s="82"/>
      <c r="N101" s="78"/>
      <c r="O101" s="78"/>
      <c r="P101" s="78"/>
      <c r="Q101" s="78"/>
      <c r="R101" s="78"/>
      <c r="S101" s="78"/>
      <c r="T101" s="83"/>
    </row>
    <row r="102" spans="1:20" ht="15" customHeight="1" x14ac:dyDescent="0.3">
      <c r="A102" s="73"/>
      <c r="B102" s="74"/>
      <c r="C102" s="75"/>
      <c r="D102" s="76"/>
      <c r="E102" s="77"/>
      <c r="F102" s="78"/>
      <c r="G102" s="78"/>
      <c r="H102" s="79"/>
      <c r="I102" s="80"/>
      <c r="J102" s="77"/>
      <c r="K102" s="81" t="b">
        <v>0</v>
      </c>
      <c r="L102" s="78"/>
      <c r="M102" s="82"/>
      <c r="N102" s="78"/>
      <c r="O102" s="78"/>
      <c r="P102" s="78"/>
      <c r="Q102" s="78"/>
      <c r="R102" s="78"/>
      <c r="S102" s="78"/>
      <c r="T102" s="83"/>
    </row>
    <row r="103" spans="1:20" ht="15" customHeight="1" x14ac:dyDescent="0.3">
      <c r="A103" s="73"/>
      <c r="B103" s="74"/>
      <c r="C103" s="75"/>
      <c r="D103" s="76"/>
      <c r="E103" s="77"/>
      <c r="F103" s="78"/>
      <c r="G103" s="78"/>
      <c r="H103" s="79"/>
      <c r="I103" s="80"/>
      <c r="J103" s="77"/>
      <c r="K103" s="81" t="b">
        <v>0</v>
      </c>
      <c r="L103" s="78"/>
      <c r="M103" s="82"/>
      <c r="N103" s="78"/>
      <c r="O103" s="78"/>
      <c r="P103" s="78"/>
      <c r="Q103" s="78"/>
      <c r="R103" s="78"/>
      <c r="S103" s="78"/>
      <c r="T103" s="83"/>
    </row>
    <row r="104" spans="1:20" ht="15" customHeight="1" x14ac:dyDescent="0.3">
      <c r="A104" s="73"/>
      <c r="B104" s="74"/>
      <c r="C104" s="75"/>
      <c r="D104" s="76"/>
      <c r="E104" s="77"/>
      <c r="F104" s="78"/>
      <c r="G104" s="78"/>
      <c r="H104" s="79"/>
      <c r="I104" s="80"/>
      <c r="J104" s="77"/>
      <c r="K104" s="81" t="b">
        <v>0</v>
      </c>
      <c r="L104" s="78"/>
      <c r="M104" s="82"/>
      <c r="N104" s="78"/>
      <c r="O104" s="78"/>
      <c r="P104" s="78"/>
      <c r="Q104" s="78"/>
      <c r="R104" s="78"/>
      <c r="S104" s="78"/>
      <c r="T104" s="83"/>
    </row>
    <row r="105" spans="1:20" ht="15" customHeight="1" x14ac:dyDescent="0.3">
      <c r="A105" s="73"/>
      <c r="B105" s="74"/>
      <c r="C105" s="75"/>
      <c r="D105" s="76"/>
      <c r="E105" s="77"/>
      <c r="F105" s="78"/>
      <c r="G105" s="78"/>
      <c r="H105" s="79"/>
      <c r="I105" s="80"/>
      <c r="J105" s="77"/>
      <c r="K105" s="81" t="b">
        <v>0</v>
      </c>
      <c r="L105" s="78"/>
      <c r="M105" s="82"/>
      <c r="N105" s="78"/>
      <c r="O105" s="78"/>
      <c r="P105" s="78"/>
      <c r="Q105" s="78"/>
      <c r="R105" s="78"/>
      <c r="S105" s="78"/>
      <c r="T105" s="83"/>
    </row>
    <row r="106" spans="1:20" ht="15" customHeight="1" x14ac:dyDescent="0.3">
      <c r="A106" s="73"/>
      <c r="B106" s="74"/>
      <c r="C106" s="75"/>
      <c r="D106" s="76"/>
      <c r="E106" s="77"/>
      <c r="F106" s="78"/>
      <c r="G106" s="78"/>
      <c r="H106" s="79"/>
      <c r="I106" s="80"/>
      <c r="J106" s="77"/>
      <c r="K106" s="81" t="b">
        <v>0</v>
      </c>
      <c r="L106" s="78"/>
      <c r="M106" s="82"/>
      <c r="N106" s="78"/>
      <c r="O106" s="78"/>
      <c r="P106" s="78"/>
      <c r="Q106" s="78"/>
      <c r="R106" s="78"/>
      <c r="S106" s="78"/>
      <c r="T106" s="83"/>
    </row>
    <row r="107" spans="1:20" ht="15" customHeight="1" x14ac:dyDescent="0.3">
      <c r="A107" s="73"/>
      <c r="B107" s="74"/>
      <c r="C107" s="75"/>
      <c r="D107" s="76"/>
      <c r="E107" s="77"/>
      <c r="F107" s="78"/>
      <c r="G107" s="78"/>
      <c r="H107" s="79"/>
      <c r="I107" s="80"/>
      <c r="J107" s="77"/>
      <c r="K107" s="81" t="b">
        <v>0</v>
      </c>
      <c r="L107" s="78"/>
      <c r="M107" s="82"/>
      <c r="N107" s="78"/>
      <c r="O107" s="78"/>
      <c r="P107" s="78"/>
      <c r="Q107" s="78"/>
      <c r="R107" s="78"/>
      <c r="S107" s="78"/>
      <c r="T107" s="83"/>
    </row>
    <row r="108" spans="1:20" ht="15" customHeight="1" x14ac:dyDescent="0.3">
      <c r="A108" s="73"/>
      <c r="B108" s="74"/>
      <c r="C108" s="75"/>
      <c r="D108" s="76"/>
      <c r="E108" s="77"/>
      <c r="F108" s="78"/>
      <c r="G108" s="78"/>
      <c r="H108" s="79"/>
      <c r="I108" s="80"/>
      <c r="J108" s="77"/>
      <c r="K108" s="81" t="b">
        <v>0</v>
      </c>
      <c r="L108" s="78"/>
      <c r="M108" s="82"/>
      <c r="N108" s="78"/>
      <c r="O108" s="78"/>
      <c r="P108" s="78"/>
      <c r="Q108" s="78"/>
      <c r="R108" s="78"/>
      <c r="S108" s="78"/>
      <c r="T108" s="83"/>
    </row>
    <row r="109" spans="1:20" ht="15" customHeight="1" x14ac:dyDescent="0.3">
      <c r="A109" s="73"/>
      <c r="B109" s="74"/>
      <c r="C109" s="75"/>
      <c r="D109" s="76"/>
      <c r="E109" s="77"/>
      <c r="F109" s="78"/>
      <c r="G109" s="78"/>
      <c r="H109" s="79"/>
      <c r="I109" s="80"/>
      <c r="J109" s="77"/>
      <c r="K109" s="81" t="b">
        <v>0</v>
      </c>
      <c r="L109" s="78"/>
      <c r="M109" s="82"/>
      <c r="N109" s="78"/>
      <c r="O109" s="78"/>
      <c r="P109" s="78"/>
      <c r="Q109" s="78"/>
      <c r="R109" s="78"/>
      <c r="S109" s="78"/>
      <c r="T109" s="83"/>
    </row>
    <row r="110" spans="1:20" ht="15" customHeight="1" x14ac:dyDescent="0.3">
      <c r="A110" s="73"/>
      <c r="B110" s="74"/>
      <c r="C110" s="75"/>
      <c r="D110" s="76"/>
      <c r="E110" s="77"/>
      <c r="F110" s="78"/>
      <c r="G110" s="78"/>
      <c r="H110" s="79"/>
      <c r="I110" s="80"/>
      <c r="J110" s="77"/>
      <c r="K110" s="81" t="b">
        <v>0</v>
      </c>
      <c r="L110" s="78"/>
      <c r="M110" s="82"/>
      <c r="N110" s="78"/>
      <c r="O110" s="78"/>
      <c r="P110" s="78"/>
      <c r="Q110" s="78"/>
      <c r="R110" s="78"/>
      <c r="S110" s="78"/>
      <c r="T110" s="83"/>
    </row>
    <row r="111" spans="1:20" ht="15" customHeight="1" x14ac:dyDescent="0.3">
      <c r="A111" s="73"/>
      <c r="B111" s="74"/>
      <c r="C111" s="75"/>
      <c r="D111" s="76"/>
      <c r="E111" s="77"/>
      <c r="F111" s="78"/>
      <c r="G111" s="78"/>
      <c r="H111" s="79"/>
      <c r="I111" s="80"/>
      <c r="J111" s="77"/>
      <c r="K111" s="81" t="b">
        <v>0</v>
      </c>
      <c r="L111" s="78"/>
      <c r="M111" s="82"/>
      <c r="N111" s="78"/>
      <c r="O111" s="78"/>
      <c r="P111" s="78"/>
      <c r="Q111" s="78"/>
      <c r="R111" s="78"/>
      <c r="S111" s="78"/>
      <c r="T111" s="83"/>
    </row>
    <row r="112" spans="1:20" ht="15" customHeight="1" x14ac:dyDescent="0.3">
      <c r="A112" s="73"/>
      <c r="B112" s="74"/>
      <c r="C112" s="75"/>
      <c r="D112" s="76"/>
      <c r="E112" s="77"/>
      <c r="F112" s="78"/>
      <c r="G112" s="78"/>
      <c r="H112" s="79"/>
      <c r="I112" s="80"/>
      <c r="J112" s="77"/>
      <c r="K112" s="81" t="b">
        <v>0</v>
      </c>
      <c r="L112" s="78"/>
      <c r="M112" s="82"/>
      <c r="N112" s="78"/>
      <c r="O112" s="78"/>
      <c r="P112" s="78"/>
      <c r="Q112" s="78"/>
      <c r="R112" s="78"/>
      <c r="S112" s="78"/>
      <c r="T112" s="83"/>
    </row>
    <row r="113" spans="1:20" ht="15" customHeight="1" x14ac:dyDescent="0.3">
      <c r="A113" s="73"/>
      <c r="B113" s="74"/>
      <c r="C113" s="75"/>
      <c r="D113" s="76"/>
      <c r="E113" s="77"/>
      <c r="F113" s="78"/>
      <c r="G113" s="78"/>
      <c r="H113" s="79"/>
      <c r="I113" s="80"/>
      <c r="J113" s="77"/>
      <c r="K113" s="81" t="b">
        <v>0</v>
      </c>
      <c r="L113" s="78"/>
      <c r="M113" s="82"/>
      <c r="N113" s="78"/>
      <c r="O113" s="78"/>
      <c r="P113" s="78"/>
      <c r="Q113" s="78"/>
      <c r="R113" s="78"/>
      <c r="S113" s="78"/>
      <c r="T113" s="83"/>
    </row>
    <row r="114" spans="1:20" ht="15" customHeight="1" x14ac:dyDescent="0.3">
      <c r="A114" s="73"/>
      <c r="B114" s="74"/>
      <c r="C114" s="75"/>
      <c r="D114" s="76"/>
      <c r="E114" s="77"/>
      <c r="F114" s="78"/>
      <c r="G114" s="78"/>
      <c r="H114" s="79"/>
      <c r="I114" s="80"/>
      <c r="J114" s="77"/>
      <c r="K114" s="81" t="b">
        <v>0</v>
      </c>
      <c r="L114" s="78"/>
      <c r="M114" s="82"/>
      <c r="N114" s="78"/>
      <c r="O114" s="78"/>
      <c r="P114" s="78"/>
      <c r="Q114" s="78"/>
      <c r="R114" s="78"/>
      <c r="S114" s="78"/>
      <c r="T114" s="83"/>
    </row>
    <row r="115" spans="1:20" ht="15" customHeight="1" x14ac:dyDescent="0.3">
      <c r="A115" s="73"/>
      <c r="B115" s="74"/>
      <c r="C115" s="75"/>
      <c r="D115" s="76"/>
      <c r="E115" s="77"/>
      <c r="F115" s="78"/>
      <c r="G115" s="78"/>
      <c r="H115" s="79"/>
      <c r="I115" s="80"/>
      <c r="J115" s="77"/>
      <c r="K115" s="81" t="b">
        <v>0</v>
      </c>
      <c r="L115" s="78"/>
      <c r="M115" s="82"/>
      <c r="N115" s="78"/>
      <c r="O115" s="78"/>
      <c r="P115" s="78"/>
      <c r="Q115" s="78"/>
      <c r="R115" s="78"/>
      <c r="S115" s="78"/>
      <c r="T115" s="83"/>
    </row>
    <row r="116" spans="1:20" ht="15" customHeight="1" x14ac:dyDescent="0.3">
      <c r="A116" s="73"/>
      <c r="B116" s="74"/>
      <c r="C116" s="75"/>
      <c r="D116" s="76"/>
      <c r="E116" s="77"/>
      <c r="F116" s="78"/>
      <c r="G116" s="78"/>
      <c r="H116" s="79"/>
      <c r="I116" s="80"/>
      <c r="J116" s="77"/>
      <c r="K116" s="81" t="b">
        <v>0</v>
      </c>
      <c r="L116" s="78"/>
      <c r="M116" s="82"/>
      <c r="N116" s="78"/>
      <c r="O116" s="78"/>
      <c r="P116" s="78"/>
      <c r="Q116" s="78"/>
      <c r="R116" s="78"/>
      <c r="S116" s="78"/>
      <c r="T116" s="83"/>
    </row>
    <row r="117" spans="1:20" ht="15" customHeight="1" x14ac:dyDescent="0.3">
      <c r="A117" s="73"/>
      <c r="B117" s="74"/>
      <c r="C117" s="75"/>
      <c r="D117" s="76"/>
      <c r="E117" s="77"/>
      <c r="F117" s="78"/>
      <c r="G117" s="78"/>
      <c r="H117" s="79"/>
      <c r="I117" s="80"/>
      <c r="J117" s="77"/>
      <c r="K117" s="81" t="b">
        <v>0</v>
      </c>
      <c r="L117" s="78"/>
      <c r="M117" s="82"/>
      <c r="N117" s="78"/>
      <c r="O117" s="78"/>
      <c r="P117" s="78"/>
      <c r="Q117" s="78"/>
      <c r="R117" s="78"/>
      <c r="S117" s="78"/>
      <c r="T117" s="83"/>
    </row>
    <row r="118" spans="1:20" ht="15" customHeight="1" x14ac:dyDescent="0.3">
      <c r="A118" s="73"/>
      <c r="B118" s="74"/>
      <c r="C118" s="75"/>
      <c r="D118" s="76"/>
      <c r="E118" s="77"/>
      <c r="F118" s="78"/>
      <c r="G118" s="78"/>
      <c r="H118" s="79"/>
      <c r="I118" s="80"/>
      <c r="J118" s="77"/>
      <c r="K118" s="81" t="b">
        <v>0</v>
      </c>
      <c r="L118" s="78"/>
      <c r="M118" s="82"/>
      <c r="N118" s="78"/>
      <c r="O118" s="78"/>
      <c r="P118" s="78"/>
      <c r="Q118" s="78"/>
      <c r="R118" s="78"/>
      <c r="S118" s="78"/>
      <c r="T118" s="83"/>
    </row>
    <row r="119" spans="1:20" ht="15" customHeight="1" x14ac:dyDescent="0.3">
      <c r="A119" s="73"/>
      <c r="B119" s="74"/>
      <c r="C119" s="75"/>
      <c r="D119" s="76"/>
      <c r="E119" s="77"/>
      <c r="F119" s="78"/>
      <c r="G119" s="78"/>
      <c r="H119" s="79"/>
      <c r="I119" s="80"/>
      <c r="J119" s="77"/>
      <c r="K119" s="81" t="b">
        <v>0</v>
      </c>
      <c r="L119" s="78"/>
      <c r="M119" s="82"/>
      <c r="N119" s="78"/>
      <c r="O119" s="78"/>
      <c r="P119" s="78"/>
      <c r="Q119" s="78"/>
      <c r="R119" s="78"/>
      <c r="S119" s="78"/>
      <c r="T119" s="83"/>
    </row>
    <row r="120" spans="1:20" ht="15" customHeight="1" x14ac:dyDescent="0.3">
      <c r="A120" s="73"/>
      <c r="B120" s="74"/>
      <c r="C120" s="75"/>
      <c r="D120" s="76"/>
      <c r="E120" s="77"/>
      <c r="F120" s="78"/>
      <c r="G120" s="78"/>
      <c r="H120" s="79"/>
      <c r="I120" s="80"/>
      <c r="J120" s="77"/>
      <c r="K120" s="81" t="b">
        <v>0</v>
      </c>
      <c r="L120" s="78"/>
      <c r="M120" s="82"/>
      <c r="N120" s="78"/>
      <c r="O120" s="78"/>
      <c r="P120" s="78"/>
      <c r="Q120" s="78"/>
      <c r="R120" s="78"/>
      <c r="S120" s="78"/>
      <c r="T120" s="83"/>
    </row>
    <row r="121" spans="1:20" ht="15" customHeight="1" x14ac:dyDescent="0.3">
      <c r="A121" s="73"/>
      <c r="B121" s="74"/>
      <c r="C121" s="75"/>
      <c r="D121" s="76"/>
      <c r="E121" s="77"/>
      <c r="F121" s="78"/>
      <c r="G121" s="78"/>
      <c r="H121" s="79"/>
      <c r="I121" s="80"/>
      <c r="J121" s="77"/>
      <c r="K121" s="81" t="b">
        <v>0</v>
      </c>
      <c r="L121" s="78"/>
      <c r="M121" s="82"/>
      <c r="N121" s="78"/>
      <c r="O121" s="78"/>
      <c r="P121" s="78"/>
      <c r="Q121" s="78"/>
      <c r="R121" s="78"/>
      <c r="S121" s="78"/>
      <c r="T121" s="83"/>
    </row>
    <row r="122" spans="1:20" ht="15" customHeight="1" x14ac:dyDescent="0.3">
      <c r="A122" s="73"/>
      <c r="B122" s="74"/>
      <c r="C122" s="75"/>
      <c r="D122" s="76"/>
      <c r="E122" s="77"/>
      <c r="F122" s="78"/>
      <c r="G122" s="78"/>
      <c r="H122" s="79"/>
      <c r="I122" s="80"/>
      <c r="J122" s="77"/>
      <c r="K122" s="81" t="b">
        <v>0</v>
      </c>
      <c r="L122" s="78"/>
      <c r="M122" s="82"/>
      <c r="N122" s="78"/>
      <c r="O122" s="78"/>
      <c r="P122" s="78"/>
      <c r="Q122" s="78"/>
      <c r="R122" s="78"/>
      <c r="S122" s="78"/>
      <c r="T122" s="83"/>
    </row>
    <row r="123" spans="1:20" ht="15" customHeight="1" x14ac:dyDescent="0.3">
      <c r="A123" s="73"/>
      <c r="B123" s="74"/>
      <c r="C123" s="75"/>
      <c r="D123" s="76"/>
      <c r="E123" s="77"/>
      <c r="F123" s="78"/>
      <c r="G123" s="78"/>
      <c r="H123" s="79"/>
      <c r="I123" s="80"/>
      <c r="J123" s="77"/>
      <c r="K123" s="81" t="b">
        <v>0</v>
      </c>
      <c r="L123" s="78"/>
      <c r="M123" s="82"/>
      <c r="N123" s="78"/>
      <c r="O123" s="78"/>
      <c r="P123" s="78"/>
      <c r="Q123" s="78"/>
      <c r="R123" s="78"/>
      <c r="S123" s="78"/>
      <c r="T123" s="83"/>
    </row>
    <row r="124" spans="1:20" ht="15" customHeight="1" x14ac:dyDescent="0.3">
      <c r="A124" s="73"/>
      <c r="B124" s="74"/>
      <c r="C124" s="75"/>
      <c r="D124" s="76"/>
      <c r="E124" s="77"/>
      <c r="F124" s="78"/>
      <c r="G124" s="78"/>
      <c r="H124" s="79"/>
      <c r="I124" s="80"/>
      <c r="J124" s="77"/>
      <c r="K124" s="81" t="b">
        <v>0</v>
      </c>
      <c r="L124" s="78"/>
      <c r="M124" s="82"/>
      <c r="N124" s="78"/>
      <c r="O124" s="78"/>
      <c r="P124" s="78"/>
      <c r="Q124" s="78"/>
      <c r="R124" s="78"/>
      <c r="S124" s="78"/>
      <c r="T124" s="83"/>
    </row>
    <row r="125" spans="1:20" ht="15" customHeight="1" x14ac:dyDescent="0.3">
      <c r="A125" s="73"/>
      <c r="B125" s="74"/>
      <c r="C125" s="75"/>
      <c r="D125" s="76"/>
      <c r="E125" s="77"/>
      <c r="F125" s="78"/>
      <c r="G125" s="78"/>
      <c r="H125" s="79"/>
      <c r="I125" s="80"/>
      <c r="J125" s="77"/>
      <c r="K125" s="81" t="b">
        <v>0</v>
      </c>
      <c r="L125" s="78"/>
      <c r="M125" s="82"/>
      <c r="N125" s="78"/>
      <c r="O125" s="78"/>
      <c r="P125" s="78"/>
      <c r="Q125" s="78"/>
      <c r="R125" s="78"/>
      <c r="S125" s="78"/>
      <c r="T125" s="83"/>
    </row>
    <row r="126" spans="1:20" ht="15" customHeight="1" x14ac:dyDescent="0.3">
      <c r="A126" s="73"/>
      <c r="B126" s="74"/>
      <c r="C126" s="75"/>
      <c r="D126" s="76"/>
      <c r="E126" s="77"/>
      <c r="F126" s="78"/>
      <c r="G126" s="78"/>
      <c r="H126" s="79"/>
      <c r="I126" s="80"/>
      <c r="J126" s="77"/>
      <c r="K126" s="81" t="b">
        <v>0</v>
      </c>
      <c r="L126" s="78"/>
      <c r="M126" s="82"/>
      <c r="N126" s="78"/>
      <c r="O126" s="78"/>
      <c r="P126" s="78"/>
      <c r="Q126" s="78"/>
      <c r="R126" s="78"/>
      <c r="S126" s="78"/>
      <c r="T126" s="83"/>
    </row>
    <row r="127" spans="1:20" ht="15" customHeight="1" x14ac:dyDescent="0.3">
      <c r="A127" s="73"/>
      <c r="B127" s="74"/>
      <c r="C127" s="75"/>
      <c r="D127" s="76"/>
      <c r="E127" s="77"/>
      <c r="F127" s="78"/>
      <c r="G127" s="78"/>
      <c r="H127" s="79"/>
      <c r="I127" s="80"/>
      <c r="J127" s="77"/>
      <c r="K127" s="81" t="b">
        <v>0</v>
      </c>
      <c r="L127" s="78"/>
      <c r="M127" s="82"/>
      <c r="N127" s="78"/>
      <c r="O127" s="78"/>
      <c r="P127" s="78"/>
      <c r="Q127" s="78"/>
      <c r="R127" s="78"/>
      <c r="S127" s="78"/>
      <c r="T127" s="83"/>
    </row>
    <row r="128" spans="1:20" ht="15" customHeight="1" x14ac:dyDescent="0.3">
      <c r="A128" s="73"/>
      <c r="B128" s="74"/>
      <c r="C128" s="75"/>
      <c r="D128" s="76"/>
      <c r="E128" s="77"/>
      <c r="F128" s="78"/>
      <c r="G128" s="78"/>
      <c r="H128" s="79"/>
      <c r="I128" s="80"/>
      <c r="J128" s="77"/>
      <c r="K128" s="81" t="b">
        <v>0</v>
      </c>
      <c r="L128" s="78"/>
      <c r="M128" s="82"/>
      <c r="N128" s="78"/>
      <c r="O128" s="78"/>
      <c r="P128" s="78"/>
      <c r="Q128" s="78"/>
      <c r="R128" s="78"/>
      <c r="S128" s="78"/>
      <c r="T128" s="83"/>
    </row>
    <row r="129" spans="1:20" ht="15" customHeight="1" x14ac:dyDescent="0.3">
      <c r="A129" s="73"/>
      <c r="B129" s="74"/>
      <c r="C129" s="75"/>
      <c r="D129" s="76"/>
      <c r="E129" s="77"/>
      <c r="F129" s="78"/>
      <c r="G129" s="78"/>
      <c r="H129" s="79"/>
      <c r="I129" s="80"/>
      <c r="J129" s="77"/>
      <c r="K129" s="81" t="b">
        <v>0</v>
      </c>
      <c r="L129" s="78"/>
      <c r="M129" s="82"/>
      <c r="N129" s="78"/>
      <c r="O129" s="78"/>
      <c r="P129" s="78"/>
      <c r="Q129" s="78"/>
      <c r="R129" s="78"/>
      <c r="S129" s="78"/>
      <c r="T129" s="83"/>
    </row>
    <row r="130" spans="1:20" ht="15" customHeight="1" x14ac:dyDescent="0.3">
      <c r="A130" s="73"/>
      <c r="B130" s="74"/>
      <c r="C130" s="75"/>
      <c r="D130" s="76"/>
      <c r="E130" s="77"/>
      <c r="F130" s="78"/>
      <c r="G130" s="78"/>
      <c r="H130" s="79"/>
      <c r="I130" s="80"/>
      <c r="J130" s="77"/>
      <c r="K130" s="81" t="b">
        <v>0</v>
      </c>
      <c r="L130" s="78"/>
      <c r="M130" s="82"/>
      <c r="N130" s="78"/>
      <c r="O130" s="78"/>
      <c r="P130" s="78"/>
      <c r="Q130" s="78"/>
      <c r="R130" s="78"/>
      <c r="S130" s="78"/>
      <c r="T130" s="83"/>
    </row>
    <row r="131" spans="1:20" ht="15" customHeight="1" x14ac:dyDescent="0.3">
      <c r="A131" s="73"/>
      <c r="B131" s="74"/>
      <c r="C131" s="75"/>
      <c r="D131" s="76"/>
      <c r="E131" s="77"/>
      <c r="F131" s="78"/>
      <c r="G131" s="78"/>
      <c r="H131" s="79"/>
      <c r="I131" s="80"/>
      <c r="J131" s="77"/>
      <c r="K131" s="81" t="b">
        <v>0</v>
      </c>
      <c r="L131" s="78"/>
      <c r="M131" s="82"/>
      <c r="N131" s="78"/>
      <c r="O131" s="78"/>
      <c r="P131" s="78"/>
      <c r="Q131" s="78"/>
      <c r="R131" s="78"/>
      <c r="S131" s="78"/>
      <c r="T131" s="83"/>
    </row>
    <row r="132" spans="1:20" ht="15" customHeight="1" x14ac:dyDescent="0.3">
      <c r="A132" s="73"/>
      <c r="B132" s="74"/>
      <c r="C132" s="75"/>
      <c r="D132" s="76"/>
      <c r="E132" s="77"/>
      <c r="F132" s="78"/>
      <c r="G132" s="78"/>
      <c r="H132" s="79"/>
      <c r="I132" s="80"/>
      <c r="J132" s="77"/>
      <c r="K132" s="81" t="b">
        <v>0</v>
      </c>
      <c r="L132" s="78"/>
      <c r="M132" s="82"/>
      <c r="N132" s="78"/>
      <c r="O132" s="78"/>
      <c r="P132" s="78"/>
      <c r="Q132" s="78"/>
      <c r="R132" s="78"/>
      <c r="S132" s="78"/>
      <c r="T132" s="83"/>
    </row>
    <row r="133" spans="1:20" ht="15" customHeight="1" x14ac:dyDescent="0.3">
      <c r="A133" s="73"/>
      <c r="B133" s="74"/>
      <c r="C133" s="75"/>
      <c r="D133" s="76"/>
      <c r="E133" s="77"/>
      <c r="F133" s="78"/>
      <c r="G133" s="78"/>
      <c r="H133" s="79"/>
      <c r="I133" s="80"/>
      <c r="J133" s="77"/>
      <c r="K133" s="81" t="b">
        <v>0</v>
      </c>
      <c r="L133" s="78"/>
      <c r="M133" s="82"/>
      <c r="N133" s="78"/>
      <c r="O133" s="78"/>
      <c r="P133" s="78"/>
      <c r="Q133" s="78"/>
      <c r="R133" s="78"/>
      <c r="S133" s="78"/>
      <c r="T133" s="83"/>
    </row>
    <row r="134" spans="1:20" ht="15" customHeight="1" x14ac:dyDescent="0.3">
      <c r="A134" s="73"/>
      <c r="B134" s="74"/>
      <c r="C134" s="75"/>
      <c r="D134" s="76"/>
      <c r="E134" s="77"/>
      <c r="F134" s="78"/>
      <c r="G134" s="78"/>
      <c r="H134" s="79"/>
      <c r="I134" s="80"/>
      <c r="J134" s="77"/>
      <c r="K134" s="81" t="b">
        <v>0</v>
      </c>
      <c r="L134" s="78"/>
      <c r="M134" s="82"/>
      <c r="N134" s="78"/>
      <c r="O134" s="78"/>
      <c r="P134" s="78"/>
      <c r="Q134" s="78"/>
      <c r="R134" s="78"/>
      <c r="S134" s="78"/>
      <c r="T134" s="83"/>
    </row>
    <row r="135" spans="1:20" ht="15" customHeight="1" x14ac:dyDescent="0.3">
      <c r="A135" s="73"/>
      <c r="B135" s="74"/>
      <c r="C135" s="75"/>
      <c r="D135" s="76"/>
      <c r="E135" s="77"/>
      <c r="F135" s="78"/>
      <c r="G135" s="78"/>
      <c r="H135" s="79"/>
      <c r="I135" s="80"/>
      <c r="J135" s="77"/>
      <c r="K135" s="81" t="b">
        <v>0</v>
      </c>
      <c r="L135" s="78"/>
      <c r="M135" s="82"/>
      <c r="N135" s="78"/>
      <c r="O135" s="78"/>
      <c r="P135" s="78"/>
      <c r="Q135" s="78"/>
      <c r="R135" s="78"/>
      <c r="S135" s="78"/>
      <c r="T135" s="83"/>
    </row>
    <row r="136" spans="1:20" ht="15" customHeight="1" x14ac:dyDescent="0.3">
      <c r="A136" s="73"/>
      <c r="B136" s="74"/>
      <c r="C136" s="75"/>
      <c r="D136" s="76"/>
      <c r="E136" s="77"/>
      <c r="F136" s="78"/>
      <c r="G136" s="78"/>
      <c r="H136" s="79"/>
      <c r="I136" s="80"/>
      <c r="J136" s="77"/>
      <c r="K136" s="81" t="b">
        <v>0</v>
      </c>
      <c r="L136" s="78"/>
      <c r="M136" s="82"/>
      <c r="N136" s="78"/>
      <c r="O136" s="78"/>
      <c r="P136" s="78"/>
      <c r="Q136" s="78"/>
      <c r="R136" s="78"/>
      <c r="S136" s="78"/>
      <c r="T136" s="83"/>
    </row>
    <row r="137" spans="1:20" ht="15" customHeight="1" x14ac:dyDescent="0.3">
      <c r="A137" s="73"/>
      <c r="B137" s="74"/>
      <c r="C137" s="75"/>
      <c r="D137" s="76"/>
      <c r="E137" s="77"/>
      <c r="F137" s="78"/>
      <c r="G137" s="78"/>
      <c r="H137" s="79"/>
      <c r="I137" s="80"/>
      <c r="J137" s="77"/>
      <c r="K137" s="81" t="b">
        <v>0</v>
      </c>
      <c r="L137" s="78"/>
      <c r="M137" s="82"/>
      <c r="N137" s="78"/>
      <c r="O137" s="78"/>
      <c r="P137" s="78"/>
      <c r="Q137" s="78"/>
      <c r="R137" s="78"/>
      <c r="S137" s="78"/>
      <c r="T137" s="83"/>
    </row>
    <row r="138" spans="1:20" ht="15" customHeight="1" x14ac:dyDescent="0.3">
      <c r="A138" s="73"/>
      <c r="B138" s="74"/>
      <c r="C138" s="75"/>
      <c r="D138" s="76"/>
      <c r="E138" s="77"/>
      <c r="F138" s="78"/>
      <c r="G138" s="78"/>
      <c r="H138" s="79"/>
      <c r="I138" s="80"/>
      <c r="J138" s="77"/>
      <c r="K138" s="81" t="b">
        <v>0</v>
      </c>
      <c r="L138" s="78"/>
      <c r="M138" s="82"/>
      <c r="N138" s="78"/>
      <c r="O138" s="78"/>
      <c r="P138" s="78"/>
      <c r="Q138" s="78"/>
      <c r="R138" s="78"/>
      <c r="S138" s="78"/>
      <c r="T138" s="83"/>
    </row>
    <row r="139" spans="1:20" ht="15" customHeight="1" x14ac:dyDescent="0.3">
      <c r="A139" s="73"/>
      <c r="B139" s="74"/>
      <c r="C139" s="75"/>
      <c r="D139" s="76"/>
      <c r="E139" s="77"/>
      <c r="F139" s="78"/>
      <c r="G139" s="78"/>
      <c r="H139" s="79"/>
      <c r="I139" s="80"/>
      <c r="J139" s="77"/>
      <c r="K139" s="81" t="b">
        <v>0</v>
      </c>
      <c r="L139" s="78"/>
      <c r="M139" s="82"/>
      <c r="N139" s="78"/>
      <c r="O139" s="78"/>
      <c r="P139" s="78"/>
      <c r="Q139" s="78"/>
      <c r="R139" s="78"/>
      <c r="S139" s="78"/>
      <c r="T139" s="83"/>
    </row>
    <row r="140" spans="1:20" ht="15" customHeight="1" x14ac:dyDescent="0.3">
      <c r="A140" s="73"/>
      <c r="B140" s="74"/>
      <c r="C140" s="75"/>
      <c r="D140" s="76"/>
      <c r="E140" s="77"/>
      <c r="F140" s="78"/>
      <c r="G140" s="78"/>
      <c r="H140" s="79"/>
      <c r="I140" s="80"/>
      <c r="J140" s="77"/>
      <c r="K140" s="81" t="b">
        <v>0</v>
      </c>
      <c r="L140" s="78"/>
      <c r="M140" s="82"/>
      <c r="N140" s="78"/>
      <c r="O140" s="78"/>
      <c r="P140" s="78"/>
      <c r="Q140" s="78"/>
      <c r="R140" s="78"/>
      <c r="S140" s="78"/>
      <c r="T140" s="83"/>
    </row>
    <row r="141" spans="1:20" ht="15" customHeight="1" x14ac:dyDescent="0.3">
      <c r="A141" s="73"/>
      <c r="B141" s="74"/>
      <c r="C141" s="75"/>
      <c r="D141" s="76"/>
      <c r="E141" s="77"/>
      <c r="F141" s="78"/>
      <c r="G141" s="78"/>
      <c r="H141" s="79"/>
      <c r="I141" s="80"/>
      <c r="J141" s="77"/>
      <c r="K141" s="81" t="b">
        <v>0</v>
      </c>
      <c r="L141" s="78"/>
      <c r="M141" s="82"/>
      <c r="N141" s="78"/>
      <c r="O141" s="78"/>
      <c r="P141" s="78"/>
      <c r="Q141" s="78"/>
      <c r="R141" s="78"/>
      <c r="S141" s="78"/>
      <c r="T141" s="83"/>
    </row>
    <row r="142" spans="1:20" ht="15" customHeight="1" x14ac:dyDescent="0.3">
      <c r="A142" s="73"/>
      <c r="B142" s="74"/>
      <c r="C142" s="75"/>
      <c r="D142" s="76"/>
      <c r="E142" s="77"/>
      <c r="F142" s="78"/>
      <c r="G142" s="78"/>
      <c r="H142" s="79"/>
      <c r="I142" s="80"/>
      <c r="J142" s="77"/>
      <c r="K142" s="81" t="b">
        <v>0</v>
      </c>
      <c r="L142" s="78"/>
      <c r="M142" s="82"/>
      <c r="N142" s="78"/>
      <c r="O142" s="78"/>
      <c r="P142" s="78"/>
      <c r="Q142" s="78"/>
      <c r="R142" s="78"/>
      <c r="S142" s="78"/>
      <c r="T142" s="83"/>
    </row>
    <row r="143" spans="1:20" ht="15" customHeight="1" x14ac:dyDescent="0.3">
      <c r="A143" s="73"/>
      <c r="B143" s="74"/>
      <c r="C143" s="75"/>
      <c r="D143" s="76"/>
      <c r="E143" s="77"/>
      <c r="F143" s="78"/>
      <c r="G143" s="78"/>
      <c r="H143" s="79"/>
      <c r="I143" s="80"/>
      <c r="J143" s="77"/>
      <c r="K143" s="81" t="b">
        <v>0</v>
      </c>
      <c r="L143" s="78"/>
      <c r="M143" s="82"/>
      <c r="N143" s="78"/>
      <c r="O143" s="78"/>
      <c r="P143" s="78"/>
      <c r="Q143" s="78"/>
      <c r="R143" s="78"/>
      <c r="S143" s="78"/>
      <c r="T143" s="83"/>
    </row>
    <row r="144" spans="1:20" ht="15" customHeight="1" x14ac:dyDescent="0.3">
      <c r="A144" s="73"/>
      <c r="B144" s="74"/>
      <c r="C144" s="75"/>
      <c r="D144" s="76"/>
      <c r="E144" s="77"/>
      <c r="F144" s="78"/>
      <c r="G144" s="78"/>
      <c r="H144" s="79"/>
      <c r="I144" s="80"/>
      <c r="J144" s="77"/>
      <c r="K144" s="81" t="b">
        <v>0</v>
      </c>
      <c r="L144" s="78"/>
      <c r="M144" s="82"/>
      <c r="N144" s="78"/>
      <c r="O144" s="78"/>
      <c r="P144" s="78"/>
      <c r="Q144" s="78"/>
      <c r="R144" s="78"/>
      <c r="S144" s="78"/>
      <c r="T144" s="83"/>
    </row>
    <row r="145" spans="1:20" ht="15" customHeight="1" x14ac:dyDescent="0.3">
      <c r="A145" s="73"/>
      <c r="B145" s="74"/>
      <c r="C145" s="75"/>
      <c r="D145" s="76"/>
      <c r="E145" s="77"/>
      <c r="F145" s="78"/>
      <c r="G145" s="78"/>
      <c r="H145" s="79"/>
      <c r="I145" s="80"/>
      <c r="J145" s="77"/>
      <c r="K145" s="81" t="b">
        <v>0</v>
      </c>
      <c r="L145" s="78"/>
      <c r="M145" s="82"/>
      <c r="N145" s="78"/>
      <c r="O145" s="78"/>
      <c r="P145" s="78"/>
      <c r="Q145" s="78"/>
      <c r="R145" s="78"/>
      <c r="S145" s="78"/>
      <c r="T145" s="83"/>
    </row>
    <row r="146" spans="1:20" ht="15" customHeight="1" x14ac:dyDescent="0.3">
      <c r="A146" s="73"/>
      <c r="B146" s="74"/>
      <c r="C146" s="75"/>
      <c r="D146" s="76"/>
      <c r="E146" s="77"/>
      <c r="F146" s="78"/>
      <c r="G146" s="78"/>
      <c r="H146" s="79"/>
      <c r="I146" s="80"/>
      <c r="J146" s="77"/>
      <c r="K146" s="81" t="b">
        <v>0</v>
      </c>
      <c r="L146" s="78"/>
      <c r="M146" s="82"/>
      <c r="N146" s="78"/>
      <c r="O146" s="78"/>
      <c r="P146" s="78"/>
      <c r="Q146" s="78"/>
      <c r="R146" s="78"/>
      <c r="S146" s="78"/>
      <c r="T146" s="83"/>
    </row>
    <row r="147" spans="1:20" ht="15" customHeight="1" x14ac:dyDescent="0.3">
      <c r="A147" s="73"/>
      <c r="B147" s="74"/>
      <c r="C147" s="75"/>
      <c r="D147" s="76"/>
      <c r="E147" s="77"/>
      <c r="F147" s="78"/>
      <c r="G147" s="78"/>
      <c r="H147" s="79"/>
      <c r="I147" s="80"/>
      <c r="J147" s="77"/>
      <c r="K147" s="81" t="b">
        <v>0</v>
      </c>
      <c r="L147" s="78"/>
      <c r="M147" s="82"/>
      <c r="N147" s="78"/>
      <c r="O147" s="78"/>
      <c r="P147" s="78"/>
      <c r="Q147" s="78"/>
      <c r="R147" s="78"/>
      <c r="S147" s="78"/>
      <c r="T147" s="83"/>
    </row>
    <row r="148" spans="1:20" ht="15" customHeight="1" x14ac:dyDescent="0.3">
      <c r="A148" s="73"/>
      <c r="B148" s="74"/>
      <c r="C148" s="75"/>
      <c r="D148" s="76"/>
      <c r="E148" s="77"/>
      <c r="F148" s="78"/>
      <c r="G148" s="78"/>
      <c r="H148" s="79"/>
      <c r="I148" s="80"/>
      <c r="J148" s="77"/>
      <c r="K148" s="81" t="b">
        <v>0</v>
      </c>
      <c r="L148" s="78"/>
      <c r="M148" s="82"/>
      <c r="N148" s="78"/>
      <c r="O148" s="78"/>
      <c r="P148" s="78"/>
      <c r="Q148" s="78"/>
      <c r="R148" s="78"/>
      <c r="S148" s="78"/>
      <c r="T148" s="83"/>
    </row>
    <row r="149" spans="1:20" ht="15" customHeight="1" x14ac:dyDescent="0.3">
      <c r="A149" s="73"/>
      <c r="B149" s="74"/>
      <c r="C149" s="75"/>
      <c r="D149" s="76"/>
      <c r="E149" s="77"/>
      <c r="F149" s="78"/>
      <c r="G149" s="78"/>
      <c r="H149" s="79"/>
      <c r="I149" s="80"/>
      <c r="J149" s="77"/>
      <c r="K149" s="81" t="b">
        <v>0</v>
      </c>
      <c r="L149" s="78"/>
      <c r="M149" s="82"/>
      <c r="N149" s="78"/>
      <c r="O149" s="78"/>
      <c r="P149" s="78"/>
      <c r="Q149" s="78"/>
      <c r="R149" s="78"/>
      <c r="S149" s="78"/>
      <c r="T149" s="83"/>
    </row>
    <row r="150" spans="1:20" ht="15" customHeight="1" x14ac:dyDescent="0.3">
      <c r="A150" s="73"/>
      <c r="B150" s="74"/>
      <c r="C150" s="75"/>
      <c r="D150" s="76"/>
      <c r="E150" s="77"/>
      <c r="F150" s="78"/>
      <c r="G150" s="78"/>
      <c r="H150" s="79"/>
      <c r="I150" s="80"/>
      <c r="J150" s="77"/>
      <c r="K150" s="81" t="b">
        <v>0</v>
      </c>
      <c r="L150" s="78"/>
      <c r="M150" s="82"/>
      <c r="N150" s="78"/>
      <c r="O150" s="78"/>
      <c r="P150" s="78"/>
      <c r="Q150" s="78"/>
      <c r="R150" s="78"/>
      <c r="S150" s="78"/>
      <c r="T150" s="83"/>
    </row>
    <row r="151" spans="1:20" ht="15" customHeight="1" x14ac:dyDescent="0.3">
      <c r="A151" s="73"/>
      <c r="B151" s="74"/>
      <c r="C151" s="75"/>
      <c r="D151" s="76"/>
      <c r="E151" s="77"/>
      <c r="F151" s="78"/>
      <c r="G151" s="78"/>
      <c r="H151" s="79"/>
      <c r="I151" s="80"/>
      <c r="J151" s="77"/>
      <c r="K151" s="81" t="b">
        <v>0</v>
      </c>
      <c r="L151" s="78"/>
      <c r="M151" s="82"/>
      <c r="N151" s="78"/>
      <c r="O151" s="78"/>
      <c r="P151" s="78"/>
      <c r="Q151" s="78"/>
      <c r="R151" s="78"/>
      <c r="S151" s="78"/>
      <c r="T151" s="83"/>
    </row>
    <row r="152" spans="1:20" ht="15" customHeight="1" x14ac:dyDescent="0.3">
      <c r="A152" s="73"/>
      <c r="B152" s="74"/>
      <c r="C152" s="75"/>
      <c r="D152" s="76"/>
      <c r="E152" s="77"/>
      <c r="F152" s="78"/>
      <c r="G152" s="78"/>
      <c r="H152" s="79"/>
      <c r="I152" s="80"/>
      <c r="J152" s="77"/>
      <c r="K152" s="81" t="b">
        <v>0</v>
      </c>
      <c r="L152" s="78"/>
      <c r="M152" s="82"/>
      <c r="N152" s="78"/>
      <c r="O152" s="78"/>
      <c r="P152" s="78"/>
      <c r="Q152" s="78"/>
      <c r="R152" s="78"/>
      <c r="S152" s="78"/>
      <c r="T152" s="83"/>
    </row>
    <row r="153" spans="1:20" ht="15" customHeight="1" x14ac:dyDescent="0.3">
      <c r="A153" s="73"/>
      <c r="B153" s="74"/>
      <c r="C153" s="75"/>
      <c r="D153" s="76"/>
      <c r="E153" s="77"/>
      <c r="F153" s="78"/>
      <c r="G153" s="78"/>
      <c r="H153" s="79"/>
      <c r="I153" s="80"/>
      <c r="J153" s="77"/>
      <c r="K153" s="81" t="b">
        <v>0</v>
      </c>
      <c r="L153" s="78"/>
      <c r="M153" s="82"/>
      <c r="N153" s="78"/>
      <c r="O153" s="78"/>
      <c r="P153" s="78"/>
      <c r="Q153" s="78"/>
      <c r="R153" s="78"/>
      <c r="S153" s="78"/>
      <c r="T153" s="83"/>
    </row>
    <row r="154" spans="1:20" ht="15" customHeight="1" x14ac:dyDescent="0.3">
      <c r="A154" s="73"/>
      <c r="B154" s="74"/>
      <c r="C154" s="75"/>
      <c r="D154" s="76"/>
      <c r="E154" s="77"/>
      <c r="F154" s="78"/>
      <c r="G154" s="78"/>
      <c r="H154" s="79"/>
      <c r="I154" s="80"/>
      <c r="J154" s="77"/>
      <c r="K154" s="81" t="b">
        <v>0</v>
      </c>
      <c r="L154" s="78"/>
      <c r="M154" s="82"/>
      <c r="N154" s="78"/>
      <c r="O154" s="78"/>
      <c r="P154" s="78"/>
      <c r="Q154" s="78"/>
      <c r="R154" s="78"/>
      <c r="S154" s="78"/>
      <c r="T154" s="83"/>
    </row>
    <row r="155" spans="1:20" ht="15" customHeight="1" x14ac:dyDescent="0.3">
      <c r="A155" s="73"/>
      <c r="B155" s="74"/>
      <c r="C155" s="75"/>
      <c r="D155" s="76"/>
      <c r="E155" s="77"/>
      <c r="F155" s="78"/>
      <c r="G155" s="78"/>
      <c r="H155" s="79"/>
      <c r="I155" s="80"/>
      <c r="J155" s="77"/>
      <c r="K155" s="81" t="b">
        <v>0</v>
      </c>
      <c r="L155" s="78"/>
      <c r="M155" s="82"/>
      <c r="N155" s="78"/>
      <c r="O155" s="78"/>
      <c r="P155" s="78"/>
      <c r="Q155" s="78"/>
      <c r="R155" s="78"/>
      <c r="S155" s="78"/>
      <c r="T155" s="83"/>
    </row>
    <row r="156" spans="1:20" ht="15" customHeight="1" x14ac:dyDescent="0.3">
      <c r="A156" s="73"/>
      <c r="B156" s="74"/>
      <c r="C156" s="75"/>
      <c r="D156" s="76"/>
      <c r="E156" s="77"/>
      <c r="F156" s="78"/>
      <c r="G156" s="78"/>
      <c r="H156" s="79"/>
      <c r="I156" s="80"/>
      <c r="J156" s="77"/>
      <c r="K156" s="81" t="b">
        <v>0</v>
      </c>
      <c r="L156" s="78"/>
      <c r="M156" s="82"/>
      <c r="N156" s="78"/>
      <c r="O156" s="78"/>
      <c r="P156" s="78"/>
      <c r="Q156" s="78"/>
      <c r="R156" s="78"/>
      <c r="S156" s="78"/>
      <c r="T156" s="83"/>
    </row>
    <row r="157" spans="1:20" ht="15" customHeight="1" x14ac:dyDescent="0.3">
      <c r="A157" s="73"/>
      <c r="B157" s="74"/>
      <c r="C157" s="75"/>
      <c r="D157" s="76"/>
      <c r="E157" s="77"/>
      <c r="F157" s="78"/>
      <c r="G157" s="78"/>
      <c r="H157" s="79"/>
      <c r="I157" s="80"/>
      <c r="J157" s="77"/>
      <c r="K157" s="81" t="b">
        <v>0</v>
      </c>
      <c r="L157" s="78"/>
      <c r="M157" s="82"/>
      <c r="N157" s="78"/>
      <c r="O157" s="78"/>
      <c r="P157" s="78"/>
      <c r="Q157" s="78"/>
      <c r="R157" s="78"/>
      <c r="S157" s="78"/>
      <c r="T157" s="83"/>
    </row>
    <row r="158" spans="1:20" ht="15" customHeight="1" x14ac:dyDescent="0.3">
      <c r="A158" s="73"/>
      <c r="B158" s="74"/>
      <c r="C158" s="75"/>
      <c r="D158" s="76"/>
      <c r="E158" s="77"/>
      <c r="F158" s="78"/>
      <c r="G158" s="78"/>
      <c r="H158" s="79"/>
      <c r="I158" s="80"/>
      <c r="J158" s="77"/>
      <c r="K158" s="81" t="b">
        <v>0</v>
      </c>
      <c r="L158" s="78"/>
      <c r="M158" s="82"/>
      <c r="N158" s="78"/>
      <c r="O158" s="78"/>
      <c r="P158" s="78"/>
      <c r="Q158" s="78"/>
      <c r="R158" s="78"/>
      <c r="S158" s="78"/>
      <c r="T158" s="83"/>
    </row>
    <row r="159" spans="1:20" ht="15" customHeight="1" x14ac:dyDescent="0.3">
      <c r="A159" s="73"/>
      <c r="B159" s="74"/>
      <c r="C159" s="75"/>
      <c r="D159" s="76"/>
      <c r="E159" s="77"/>
      <c r="F159" s="78"/>
      <c r="G159" s="78"/>
      <c r="H159" s="79"/>
      <c r="I159" s="80"/>
      <c r="J159" s="77"/>
      <c r="K159" s="81" t="b">
        <v>0</v>
      </c>
      <c r="L159" s="78"/>
      <c r="M159" s="82"/>
      <c r="N159" s="78"/>
      <c r="O159" s="78"/>
      <c r="P159" s="78"/>
      <c r="Q159" s="78"/>
      <c r="R159" s="78"/>
      <c r="S159" s="78"/>
      <c r="T159" s="83"/>
    </row>
    <row r="160" spans="1:20" ht="15" customHeight="1" x14ac:dyDescent="0.3">
      <c r="A160" s="73"/>
      <c r="B160" s="74"/>
      <c r="C160" s="75"/>
      <c r="D160" s="76"/>
      <c r="E160" s="77"/>
      <c r="F160" s="78"/>
      <c r="G160" s="78"/>
      <c r="H160" s="79"/>
      <c r="I160" s="80"/>
      <c r="J160" s="77"/>
      <c r="K160" s="81" t="b">
        <v>0</v>
      </c>
      <c r="L160" s="78"/>
      <c r="M160" s="82"/>
      <c r="N160" s="78"/>
      <c r="O160" s="78"/>
      <c r="P160" s="78"/>
      <c r="Q160" s="78"/>
      <c r="R160" s="78"/>
      <c r="S160" s="78"/>
      <c r="T160" s="83"/>
    </row>
    <row r="161" spans="1:20" ht="15" customHeight="1" x14ac:dyDescent="0.3">
      <c r="A161" s="73"/>
      <c r="B161" s="74"/>
      <c r="C161" s="75"/>
      <c r="D161" s="76"/>
      <c r="E161" s="77"/>
      <c r="F161" s="78"/>
      <c r="G161" s="78"/>
      <c r="H161" s="79"/>
      <c r="I161" s="80"/>
      <c r="J161" s="77"/>
      <c r="K161" s="81" t="b">
        <v>0</v>
      </c>
      <c r="L161" s="78"/>
      <c r="M161" s="82"/>
      <c r="N161" s="78"/>
      <c r="O161" s="78"/>
      <c r="P161" s="78"/>
      <c r="Q161" s="78"/>
      <c r="R161" s="78"/>
      <c r="S161" s="78"/>
      <c r="T161" s="83"/>
    </row>
    <row r="162" spans="1:20" ht="15" customHeight="1" x14ac:dyDescent="0.3">
      <c r="A162" s="73"/>
      <c r="B162" s="74"/>
      <c r="C162" s="75"/>
      <c r="D162" s="76"/>
      <c r="E162" s="77"/>
      <c r="F162" s="78"/>
      <c r="G162" s="78"/>
      <c r="H162" s="79"/>
      <c r="I162" s="80"/>
      <c r="J162" s="77"/>
      <c r="K162" s="81" t="b">
        <v>0</v>
      </c>
      <c r="L162" s="78"/>
      <c r="M162" s="82"/>
      <c r="N162" s="78"/>
      <c r="O162" s="78"/>
      <c r="P162" s="78"/>
      <c r="Q162" s="78"/>
      <c r="R162" s="78"/>
      <c r="S162" s="78"/>
      <c r="T162" s="83"/>
    </row>
    <row r="163" spans="1:20" ht="15" customHeight="1" x14ac:dyDescent="0.3">
      <c r="A163" s="73"/>
      <c r="B163" s="74"/>
      <c r="C163" s="75"/>
      <c r="D163" s="76"/>
      <c r="E163" s="77"/>
      <c r="F163" s="78"/>
      <c r="G163" s="78"/>
      <c r="H163" s="79"/>
      <c r="I163" s="80"/>
      <c r="J163" s="77"/>
      <c r="K163" s="81" t="b">
        <v>0</v>
      </c>
      <c r="L163" s="78"/>
      <c r="M163" s="82"/>
      <c r="N163" s="78"/>
      <c r="O163" s="78"/>
      <c r="P163" s="78"/>
      <c r="Q163" s="78"/>
      <c r="R163" s="78"/>
      <c r="S163" s="78"/>
      <c r="T163" s="83"/>
    </row>
    <row r="164" spans="1:20" ht="15" customHeight="1" x14ac:dyDescent="0.3">
      <c r="A164" s="73"/>
      <c r="B164" s="74"/>
      <c r="C164" s="75"/>
      <c r="D164" s="76"/>
      <c r="E164" s="77"/>
      <c r="F164" s="78"/>
      <c r="G164" s="78"/>
      <c r="H164" s="79"/>
      <c r="I164" s="80"/>
      <c r="J164" s="77"/>
      <c r="K164" s="81" t="b">
        <v>0</v>
      </c>
      <c r="L164" s="78"/>
      <c r="M164" s="82"/>
      <c r="N164" s="78"/>
      <c r="O164" s="78"/>
      <c r="P164" s="78"/>
      <c r="Q164" s="78"/>
      <c r="R164" s="78"/>
      <c r="S164" s="78"/>
      <c r="T164" s="83"/>
    </row>
    <row r="165" spans="1:20" ht="15" customHeight="1" x14ac:dyDescent="0.3">
      <c r="A165" s="73"/>
      <c r="B165" s="74"/>
      <c r="C165" s="75"/>
      <c r="D165" s="76"/>
      <c r="E165" s="77"/>
      <c r="F165" s="78"/>
      <c r="G165" s="78"/>
      <c r="H165" s="79"/>
      <c r="I165" s="80"/>
      <c r="J165" s="77"/>
      <c r="K165" s="81" t="b">
        <v>0</v>
      </c>
      <c r="L165" s="78"/>
      <c r="M165" s="82"/>
      <c r="N165" s="78"/>
      <c r="O165" s="78"/>
      <c r="P165" s="78"/>
      <c r="Q165" s="78"/>
      <c r="R165" s="78"/>
      <c r="S165" s="78"/>
      <c r="T165" s="83"/>
    </row>
    <row r="166" spans="1:20" ht="15" customHeight="1" x14ac:dyDescent="0.3">
      <c r="A166" s="73"/>
      <c r="B166" s="74"/>
      <c r="C166" s="75"/>
      <c r="D166" s="76"/>
      <c r="E166" s="77"/>
      <c r="F166" s="78"/>
      <c r="G166" s="78"/>
      <c r="H166" s="79"/>
      <c r="I166" s="80"/>
      <c r="J166" s="77"/>
      <c r="K166" s="81" t="b">
        <v>0</v>
      </c>
      <c r="L166" s="78"/>
      <c r="M166" s="82"/>
      <c r="N166" s="78"/>
      <c r="O166" s="78"/>
      <c r="P166" s="78"/>
      <c r="Q166" s="78"/>
      <c r="R166" s="78"/>
      <c r="S166" s="78"/>
      <c r="T166" s="83"/>
    </row>
    <row r="167" spans="1:20" ht="15" customHeight="1" x14ac:dyDescent="0.3">
      <c r="A167" s="73"/>
      <c r="B167" s="74"/>
      <c r="C167" s="75"/>
      <c r="D167" s="76"/>
      <c r="E167" s="77"/>
      <c r="F167" s="78"/>
      <c r="G167" s="78"/>
      <c r="H167" s="79"/>
      <c r="I167" s="80"/>
      <c r="J167" s="77"/>
      <c r="K167" s="81" t="b">
        <v>0</v>
      </c>
      <c r="L167" s="78"/>
      <c r="M167" s="82"/>
      <c r="N167" s="78"/>
      <c r="O167" s="78"/>
      <c r="P167" s="78"/>
      <c r="Q167" s="78"/>
      <c r="R167" s="78"/>
      <c r="S167" s="78"/>
      <c r="T167" s="83"/>
    </row>
    <row r="168" spans="1:20" ht="15" customHeight="1" x14ac:dyDescent="0.3">
      <c r="A168" s="73"/>
      <c r="B168" s="74"/>
      <c r="C168" s="75"/>
      <c r="D168" s="76"/>
      <c r="E168" s="77"/>
      <c r="F168" s="78"/>
      <c r="G168" s="78"/>
      <c r="H168" s="79"/>
      <c r="I168" s="80"/>
      <c r="J168" s="77"/>
      <c r="K168" s="81" t="b">
        <v>0</v>
      </c>
      <c r="L168" s="78"/>
      <c r="M168" s="82"/>
      <c r="N168" s="78"/>
      <c r="O168" s="78"/>
      <c r="P168" s="78"/>
      <c r="Q168" s="78"/>
      <c r="R168" s="78"/>
      <c r="S168" s="78"/>
      <c r="T168" s="83"/>
    </row>
    <row r="169" spans="1:20" ht="15" customHeight="1" x14ac:dyDescent="0.3">
      <c r="A169" s="73"/>
      <c r="B169" s="74"/>
      <c r="C169" s="75"/>
      <c r="D169" s="76"/>
      <c r="E169" s="77"/>
      <c r="F169" s="78"/>
      <c r="G169" s="78"/>
      <c r="H169" s="79"/>
      <c r="I169" s="80"/>
      <c r="J169" s="77"/>
      <c r="K169" s="81" t="b">
        <v>0</v>
      </c>
      <c r="L169" s="78"/>
      <c r="M169" s="82"/>
      <c r="N169" s="78"/>
      <c r="O169" s="78"/>
      <c r="P169" s="78"/>
      <c r="Q169" s="78"/>
      <c r="R169" s="78"/>
      <c r="S169" s="78"/>
      <c r="T169" s="83"/>
    </row>
    <row r="170" spans="1:20" ht="15" customHeight="1" x14ac:dyDescent="0.3">
      <c r="A170" s="73"/>
      <c r="B170" s="74"/>
      <c r="C170" s="75"/>
      <c r="D170" s="76"/>
      <c r="E170" s="77"/>
      <c r="F170" s="78"/>
      <c r="G170" s="78"/>
      <c r="H170" s="79"/>
      <c r="I170" s="80"/>
      <c r="J170" s="77"/>
      <c r="K170" s="81" t="b">
        <v>0</v>
      </c>
      <c r="L170" s="78"/>
      <c r="M170" s="82"/>
      <c r="N170" s="78"/>
      <c r="O170" s="78"/>
      <c r="P170" s="78"/>
      <c r="Q170" s="78"/>
      <c r="R170" s="78"/>
      <c r="S170" s="78"/>
      <c r="T170" s="83"/>
    </row>
    <row r="171" spans="1:20" ht="15" customHeight="1" x14ac:dyDescent="0.3">
      <c r="A171" s="73"/>
      <c r="B171" s="74"/>
      <c r="C171" s="75"/>
      <c r="D171" s="76"/>
      <c r="E171" s="77"/>
      <c r="F171" s="78"/>
      <c r="G171" s="78"/>
      <c r="H171" s="79"/>
      <c r="I171" s="80"/>
      <c r="J171" s="77"/>
      <c r="K171" s="81" t="b">
        <v>0</v>
      </c>
      <c r="L171" s="78"/>
      <c r="M171" s="82"/>
      <c r="N171" s="78"/>
      <c r="O171" s="78"/>
      <c r="P171" s="78"/>
      <c r="Q171" s="78"/>
      <c r="R171" s="78"/>
      <c r="S171" s="78"/>
      <c r="T171" s="83"/>
    </row>
    <row r="172" spans="1:20" ht="15" customHeight="1" x14ac:dyDescent="0.3">
      <c r="A172" s="73"/>
      <c r="B172" s="74"/>
      <c r="C172" s="75"/>
      <c r="D172" s="76"/>
      <c r="E172" s="77"/>
      <c r="F172" s="78"/>
      <c r="G172" s="78"/>
      <c r="H172" s="79"/>
      <c r="I172" s="80"/>
      <c r="J172" s="77"/>
      <c r="K172" s="81" t="b">
        <v>0</v>
      </c>
      <c r="L172" s="78"/>
      <c r="M172" s="82"/>
      <c r="N172" s="78"/>
      <c r="O172" s="78"/>
      <c r="P172" s="78"/>
      <c r="Q172" s="78"/>
      <c r="R172" s="78"/>
      <c r="S172" s="78"/>
      <c r="T172" s="83"/>
    </row>
    <row r="173" spans="1:20" ht="15" customHeight="1" x14ac:dyDescent="0.3">
      <c r="A173" s="73"/>
      <c r="B173" s="74"/>
      <c r="C173" s="75"/>
      <c r="D173" s="76"/>
      <c r="E173" s="77"/>
      <c r="F173" s="78"/>
      <c r="G173" s="78"/>
      <c r="H173" s="79"/>
      <c r="I173" s="80"/>
      <c r="J173" s="77"/>
      <c r="K173" s="81" t="b">
        <v>0</v>
      </c>
      <c r="L173" s="78"/>
      <c r="M173" s="82"/>
      <c r="N173" s="78"/>
      <c r="O173" s="78"/>
      <c r="P173" s="78"/>
      <c r="Q173" s="78"/>
      <c r="R173" s="78"/>
      <c r="S173" s="78"/>
      <c r="T173" s="83"/>
    </row>
    <row r="174" spans="1:20" ht="15" customHeight="1" x14ac:dyDescent="0.3">
      <c r="A174" s="73"/>
      <c r="B174" s="74"/>
      <c r="C174" s="75"/>
      <c r="D174" s="76"/>
      <c r="E174" s="77"/>
      <c r="F174" s="78"/>
      <c r="G174" s="78"/>
      <c r="H174" s="79"/>
      <c r="I174" s="80"/>
      <c r="J174" s="77"/>
      <c r="K174" s="81" t="b">
        <v>0</v>
      </c>
      <c r="L174" s="78"/>
      <c r="M174" s="82"/>
      <c r="N174" s="78"/>
      <c r="O174" s="78"/>
      <c r="P174" s="78"/>
      <c r="Q174" s="78"/>
      <c r="R174" s="78"/>
      <c r="S174" s="78"/>
      <c r="T174" s="83"/>
    </row>
    <row r="175" spans="1:20" ht="15" customHeight="1" x14ac:dyDescent="0.3">
      <c r="A175" s="73"/>
      <c r="B175" s="74"/>
      <c r="C175" s="75"/>
      <c r="D175" s="76"/>
      <c r="E175" s="77"/>
      <c r="F175" s="78"/>
      <c r="G175" s="78"/>
      <c r="H175" s="79"/>
      <c r="I175" s="80"/>
      <c r="J175" s="77"/>
      <c r="K175" s="81" t="b">
        <v>0</v>
      </c>
      <c r="L175" s="78"/>
      <c r="M175" s="82"/>
      <c r="N175" s="78"/>
      <c r="O175" s="78"/>
      <c r="P175" s="78"/>
      <c r="Q175" s="78"/>
      <c r="R175" s="78"/>
      <c r="S175" s="78"/>
      <c r="T175" s="83"/>
    </row>
    <row r="176" spans="1:20" ht="15" customHeight="1" x14ac:dyDescent="0.3">
      <c r="A176" s="73"/>
      <c r="B176" s="74"/>
      <c r="C176" s="75"/>
      <c r="D176" s="76"/>
      <c r="E176" s="77"/>
      <c r="F176" s="78"/>
      <c r="G176" s="78"/>
      <c r="H176" s="79"/>
      <c r="I176" s="80"/>
      <c r="J176" s="77"/>
      <c r="K176" s="81" t="b">
        <v>0</v>
      </c>
      <c r="L176" s="78"/>
      <c r="M176" s="82"/>
      <c r="N176" s="78"/>
      <c r="O176" s="78"/>
      <c r="P176" s="78"/>
      <c r="Q176" s="78"/>
      <c r="R176" s="78"/>
      <c r="S176" s="78"/>
      <c r="T176" s="83"/>
    </row>
    <row r="177" spans="1:20" ht="15" customHeight="1" x14ac:dyDescent="0.3">
      <c r="A177" s="73"/>
      <c r="B177" s="74"/>
      <c r="C177" s="75"/>
      <c r="D177" s="76"/>
      <c r="E177" s="77"/>
      <c r="F177" s="78"/>
      <c r="G177" s="78"/>
      <c r="H177" s="79"/>
      <c r="I177" s="80"/>
      <c r="J177" s="77"/>
      <c r="K177" s="81" t="b">
        <v>0</v>
      </c>
      <c r="L177" s="78"/>
      <c r="M177" s="82"/>
      <c r="N177" s="78"/>
      <c r="O177" s="78"/>
      <c r="P177" s="78"/>
      <c r="Q177" s="78"/>
      <c r="R177" s="78"/>
      <c r="S177" s="78"/>
      <c r="T177" s="83"/>
    </row>
    <row r="178" spans="1:20" ht="15" customHeight="1" x14ac:dyDescent="0.3">
      <c r="A178" s="73"/>
      <c r="B178" s="74"/>
      <c r="C178" s="75"/>
      <c r="D178" s="76"/>
      <c r="E178" s="77"/>
      <c r="F178" s="78"/>
      <c r="G178" s="78"/>
      <c r="H178" s="79"/>
      <c r="I178" s="80"/>
      <c r="J178" s="77"/>
      <c r="K178" s="81" t="b">
        <v>0</v>
      </c>
      <c r="L178" s="78"/>
      <c r="M178" s="82"/>
      <c r="N178" s="78"/>
      <c r="O178" s="78"/>
      <c r="P178" s="78"/>
      <c r="Q178" s="78"/>
      <c r="R178" s="78"/>
      <c r="S178" s="78"/>
      <c r="T178" s="83"/>
    </row>
    <row r="179" spans="1:20" ht="15" customHeight="1" x14ac:dyDescent="0.3">
      <c r="A179" s="73"/>
      <c r="B179" s="74"/>
      <c r="C179" s="75"/>
      <c r="D179" s="76"/>
      <c r="E179" s="77"/>
      <c r="F179" s="78"/>
      <c r="G179" s="78"/>
      <c r="H179" s="79"/>
      <c r="I179" s="80"/>
      <c r="J179" s="77"/>
      <c r="K179" s="81" t="b">
        <v>0</v>
      </c>
      <c r="L179" s="78"/>
      <c r="M179" s="82"/>
      <c r="N179" s="78"/>
      <c r="O179" s="78"/>
      <c r="P179" s="78"/>
      <c r="Q179" s="78"/>
      <c r="R179" s="78"/>
      <c r="S179" s="78"/>
      <c r="T179" s="83"/>
    </row>
    <row r="180" spans="1:20" ht="15" customHeight="1" x14ac:dyDescent="0.3">
      <c r="A180" s="73"/>
      <c r="B180" s="74"/>
      <c r="C180" s="75"/>
      <c r="D180" s="76"/>
      <c r="E180" s="77"/>
      <c r="F180" s="78"/>
      <c r="G180" s="78"/>
      <c r="H180" s="79"/>
      <c r="I180" s="80"/>
      <c r="J180" s="77"/>
      <c r="K180" s="81" t="b">
        <v>0</v>
      </c>
      <c r="L180" s="78"/>
      <c r="M180" s="82"/>
      <c r="N180" s="78"/>
      <c r="O180" s="78"/>
      <c r="P180" s="78"/>
      <c r="Q180" s="78"/>
      <c r="R180" s="78"/>
      <c r="S180" s="78"/>
      <c r="T180" s="83"/>
    </row>
    <row r="181" spans="1:20" ht="15" customHeight="1" x14ac:dyDescent="0.3">
      <c r="A181" s="73"/>
      <c r="B181" s="74"/>
      <c r="C181" s="75"/>
      <c r="D181" s="76"/>
      <c r="E181" s="77"/>
      <c r="F181" s="78"/>
      <c r="G181" s="78"/>
      <c r="H181" s="79"/>
      <c r="I181" s="80"/>
      <c r="J181" s="77"/>
      <c r="K181" s="81" t="b">
        <v>0</v>
      </c>
      <c r="L181" s="78"/>
      <c r="M181" s="82"/>
      <c r="N181" s="78"/>
      <c r="O181" s="78"/>
      <c r="P181" s="78"/>
      <c r="Q181" s="78"/>
      <c r="R181" s="78"/>
      <c r="S181" s="78"/>
      <c r="T181" s="83"/>
    </row>
    <row r="182" spans="1:20" ht="15" customHeight="1" x14ac:dyDescent="0.3">
      <c r="A182" s="73"/>
      <c r="B182" s="74"/>
      <c r="C182" s="75"/>
      <c r="D182" s="76"/>
      <c r="E182" s="77"/>
      <c r="F182" s="78"/>
      <c r="G182" s="78"/>
      <c r="H182" s="79"/>
      <c r="I182" s="80"/>
      <c r="J182" s="77"/>
      <c r="K182" s="81" t="b">
        <v>0</v>
      </c>
      <c r="L182" s="78"/>
      <c r="M182" s="82"/>
      <c r="N182" s="78"/>
      <c r="O182" s="78"/>
      <c r="P182" s="78"/>
      <c r="Q182" s="78"/>
      <c r="R182" s="78"/>
      <c r="S182" s="78"/>
      <c r="T182" s="83"/>
    </row>
    <row r="183" spans="1:20" ht="15" customHeight="1" x14ac:dyDescent="0.3">
      <c r="A183" s="73"/>
      <c r="B183" s="74"/>
      <c r="C183" s="75"/>
      <c r="D183" s="76"/>
      <c r="E183" s="77"/>
      <c r="F183" s="78"/>
      <c r="G183" s="78"/>
      <c r="H183" s="79"/>
      <c r="I183" s="80"/>
      <c r="J183" s="77"/>
      <c r="K183" s="81" t="b">
        <v>0</v>
      </c>
      <c r="L183" s="78"/>
      <c r="M183" s="82"/>
      <c r="N183" s="78"/>
      <c r="O183" s="78"/>
      <c r="P183" s="78"/>
      <c r="Q183" s="78"/>
      <c r="R183" s="78"/>
      <c r="S183" s="78"/>
      <c r="T183" s="83"/>
    </row>
    <row r="184" spans="1:20" ht="15" customHeight="1" x14ac:dyDescent="0.3">
      <c r="A184" s="73"/>
      <c r="B184" s="74"/>
      <c r="C184" s="75"/>
      <c r="D184" s="76"/>
      <c r="E184" s="77"/>
      <c r="F184" s="78"/>
      <c r="G184" s="78"/>
      <c r="H184" s="79"/>
      <c r="I184" s="80"/>
      <c r="J184" s="77"/>
      <c r="K184" s="81" t="b">
        <v>0</v>
      </c>
      <c r="L184" s="78"/>
      <c r="M184" s="82"/>
      <c r="N184" s="78"/>
      <c r="O184" s="78"/>
      <c r="P184" s="78"/>
      <c r="Q184" s="78"/>
      <c r="R184" s="78"/>
      <c r="S184" s="78"/>
      <c r="T184" s="83"/>
    </row>
    <row r="185" spans="1:20" ht="15" customHeight="1" x14ac:dyDescent="0.3">
      <c r="A185" s="73"/>
      <c r="B185" s="74"/>
      <c r="C185" s="75"/>
      <c r="D185" s="76"/>
      <c r="E185" s="77"/>
      <c r="F185" s="78"/>
      <c r="G185" s="78"/>
      <c r="H185" s="79"/>
      <c r="I185" s="80"/>
      <c r="J185" s="77"/>
      <c r="K185" s="81" t="b">
        <v>0</v>
      </c>
      <c r="L185" s="78"/>
      <c r="M185" s="82"/>
      <c r="N185" s="78"/>
      <c r="O185" s="78"/>
      <c r="P185" s="78"/>
      <c r="Q185" s="78"/>
      <c r="R185" s="78"/>
      <c r="S185" s="78"/>
      <c r="T185" s="83"/>
    </row>
    <row r="186" spans="1:20" ht="15" customHeight="1" x14ac:dyDescent="0.3">
      <c r="A186" s="73"/>
      <c r="B186" s="74"/>
      <c r="C186" s="75"/>
      <c r="D186" s="76"/>
      <c r="E186" s="77"/>
      <c r="F186" s="78"/>
      <c r="G186" s="78"/>
      <c r="H186" s="79"/>
      <c r="I186" s="80"/>
      <c r="J186" s="77"/>
      <c r="K186" s="81" t="b">
        <v>0</v>
      </c>
      <c r="L186" s="78"/>
      <c r="M186" s="82"/>
      <c r="N186" s="78"/>
      <c r="O186" s="78"/>
      <c r="P186" s="78"/>
      <c r="Q186" s="78"/>
      <c r="R186" s="78"/>
      <c r="S186" s="78"/>
      <c r="T186" s="83"/>
    </row>
    <row r="187" spans="1:20" ht="15" customHeight="1" x14ac:dyDescent="0.3">
      <c r="A187" s="73"/>
      <c r="B187" s="74"/>
      <c r="C187" s="75"/>
      <c r="D187" s="76"/>
      <c r="E187" s="77"/>
      <c r="F187" s="78"/>
      <c r="G187" s="78"/>
      <c r="H187" s="79"/>
      <c r="I187" s="80"/>
      <c r="J187" s="77"/>
      <c r="K187" s="81" t="b">
        <v>0</v>
      </c>
      <c r="L187" s="78"/>
      <c r="M187" s="82"/>
      <c r="N187" s="78"/>
      <c r="O187" s="78"/>
      <c r="P187" s="78"/>
      <c r="Q187" s="78"/>
      <c r="R187" s="78"/>
      <c r="S187" s="78"/>
      <c r="T187" s="83"/>
    </row>
    <row r="188" spans="1:20" ht="15" customHeight="1" x14ac:dyDescent="0.3">
      <c r="A188" s="73"/>
      <c r="B188" s="74"/>
      <c r="C188" s="75"/>
      <c r="D188" s="76"/>
      <c r="E188" s="77"/>
      <c r="F188" s="78"/>
      <c r="G188" s="78"/>
      <c r="H188" s="79"/>
      <c r="I188" s="80"/>
      <c r="J188" s="77"/>
      <c r="K188" s="81" t="b">
        <v>0</v>
      </c>
      <c r="L188" s="78"/>
      <c r="M188" s="82"/>
      <c r="N188" s="78"/>
      <c r="O188" s="78"/>
      <c r="P188" s="78"/>
      <c r="Q188" s="78"/>
      <c r="R188" s="78"/>
      <c r="S188" s="78"/>
      <c r="T188" s="83"/>
    </row>
    <row r="189" spans="1:20" ht="15" customHeight="1" x14ac:dyDescent="0.3">
      <c r="A189" s="73"/>
      <c r="B189" s="74"/>
      <c r="C189" s="75"/>
      <c r="D189" s="76"/>
      <c r="E189" s="77"/>
      <c r="F189" s="78"/>
      <c r="G189" s="78"/>
      <c r="H189" s="79"/>
      <c r="I189" s="80"/>
      <c r="J189" s="77"/>
      <c r="K189" s="81" t="b">
        <v>0</v>
      </c>
      <c r="L189" s="78"/>
      <c r="M189" s="82"/>
      <c r="N189" s="78"/>
      <c r="O189" s="78"/>
      <c r="P189" s="78"/>
      <c r="Q189" s="78"/>
      <c r="R189" s="78"/>
      <c r="S189" s="78"/>
      <c r="T189" s="83"/>
    </row>
    <row r="190" spans="1:20" ht="15" customHeight="1" x14ac:dyDescent="0.3">
      <c r="A190" s="73"/>
      <c r="B190" s="74"/>
      <c r="C190" s="75"/>
      <c r="D190" s="76"/>
      <c r="E190" s="77"/>
      <c r="F190" s="78"/>
      <c r="G190" s="78"/>
      <c r="H190" s="79"/>
      <c r="I190" s="80"/>
      <c r="J190" s="77"/>
      <c r="K190" s="81" t="b">
        <v>0</v>
      </c>
      <c r="L190" s="78"/>
      <c r="M190" s="82"/>
      <c r="N190" s="78"/>
      <c r="O190" s="78"/>
      <c r="P190" s="78"/>
      <c r="Q190" s="78"/>
      <c r="R190" s="78"/>
      <c r="S190" s="78"/>
      <c r="T190" s="83"/>
    </row>
    <row r="191" spans="1:20" ht="15" customHeight="1" x14ac:dyDescent="0.3">
      <c r="A191" s="73"/>
      <c r="B191" s="74"/>
      <c r="C191" s="75"/>
      <c r="D191" s="76"/>
      <c r="E191" s="77"/>
      <c r="F191" s="78"/>
      <c r="G191" s="78"/>
      <c r="H191" s="79"/>
      <c r="I191" s="80"/>
      <c r="J191" s="77"/>
      <c r="K191" s="81" t="b">
        <v>0</v>
      </c>
      <c r="L191" s="78"/>
      <c r="M191" s="82"/>
      <c r="N191" s="78"/>
      <c r="O191" s="78"/>
      <c r="P191" s="78"/>
      <c r="Q191" s="78"/>
      <c r="R191" s="78"/>
      <c r="S191" s="78"/>
      <c r="T191" s="83"/>
    </row>
    <row r="192" spans="1:20" ht="15" customHeight="1" x14ac:dyDescent="0.3">
      <c r="A192" s="73"/>
      <c r="B192" s="74"/>
      <c r="C192" s="75"/>
      <c r="D192" s="76"/>
      <c r="E192" s="77"/>
      <c r="F192" s="78"/>
      <c r="G192" s="78"/>
      <c r="H192" s="79"/>
      <c r="I192" s="80"/>
      <c r="J192" s="77"/>
      <c r="K192" s="81" t="b">
        <v>0</v>
      </c>
      <c r="L192" s="78"/>
      <c r="M192" s="82"/>
      <c r="N192" s="78"/>
      <c r="O192" s="78"/>
      <c r="P192" s="78"/>
      <c r="Q192" s="78"/>
      <c r="R192" s="78"/>
      <c r="S192" s="78"/>
      <c r="T192" s="83"/>
    </row>
    <row r="193" spans="1:20" ht="15" customHeight="1" x14ac:dyDescent="0.3">
      <c r="A193" s="73"/>
      <c r="B193" s="74"/>
      <c r="C193" s="75"/>
      <c r="D193" s="76"/>
      <c r="E193" s="77"/>
      <c r="F193" s="78"/>
      <c r="G193" s="78"/>
      <c r="H193" s="79"/>
      <c r="I193" s="80"/>
      <c r="J193" s="77"/>
      <c r="K193" s="81" t="b">
        <v>0</v>
      </c>
      <c r="L193" s="78"/>
      <c r="M193" s="82"/>
      <c r="N193" s="78"/>
      <c r="O193" s="78"/>
      <c r="P193" s="78"/>
      <c r="Q193" s="78"/>
      <c r="R193" s="78"/>
      <c r="S193" s="78"/>
      <c r="T193" s="83"/>
    </row>
    <row r="194" spans="1:20" ht="15" customHeight="1" x14ac:dyDescent="0.3">
      <c r="A194" s="73"/>
      <c r="B194" s="74"/>
      <c r="C194" s="75"/>
      <c r="D194" s="76"/>
      <c r="E194" s="77"/>
      <c r="F194" s="78"/>
      <c r="G194" s="78"/>
      <c r="H194" s="79"/>
      <c r="I194" s="80"/>
      <c r="J194" s="77"/>
      <c r="K194" s="81" t="b">
        <v>0</v>
      </c>
      <c r="L194" s="78"/>
      <c r="M194" s="82"/>
      <c r="N194" s="78"/>
      <c r="O194" s="78"/>
      <c r="P194" s="78"/>
      <c r="Q194" s="78"/>
      <c r="R194" s="78"/>
      <c r="S194" s="78"/>
      <c r="T194" s="83"/>
    </row>
    <row r="195" spans="1:20" ht="15" customHeight="1" x14ac:dyDescent="0.3">
      <c r="A195" s="73"/>
      <c r="B195" s="74"/>
      <c r="C195" s="75"/>
      <c r="D195" s="76"/>
      <c r="E195" s="77"/>
      <c r="F195" s="78"/>
      <c r="G195" s="78"/>
      <c r="H195" s="79"/>
      <c r="I195" s="80"/>
      <c r="J195" s="77"/>
      <c r="K195" s="81" t="b">
        <v>0</v>
      </c>
      <c r="L195" s="78"/>
      <c r="M195" s="82"/>
      <c r="N195" s="78"/>
      <c r="O195" s="78"/>
      <c r="P195" s="78"/>
      <c r="Q195" s="78"/>
      <c r="R195" s="78"/>
      <c r="S195" s="78"/>
      <c r="T195" s="83"/>
    </row>
    <row r="196" spans="1:20" ht="15" customHeight="1" x14ac:dyDescent="0.3">
      <c r="A196" s="73"/>
      <c r="B196" s="74"/>
      <c r="C196" s="75"/>
      <c r="D196" s="76"/>
      <c r="E196" s="77"/>
      <c r="F196" s="78"/>
      <c r="G196" s="78"/>
      <c r="H196" s="79"/>
      <c r="I196" s="80"/>
      <c r="J196" s="77"/>
      <c r="K196" s="81" t="b">
        <v>0</v>
      </c>
      <c r="L196" s="78"/>
      <c r="M196" s="82"/>
      <c r="N196" s="78"/>
      <c r="O196" s="78"/>
      <c r="P196" s="78"/>
      <c r="Q196" s="78"/>
      <c r="R196" s="78"/>
      <c r="S196" s="78"/>
      <c r="T196" s="83"/>
    </row>
    <row r="197" spans="1:20" ht="15" customHeight="1" x14ac:dyDescent="0.3">
      <c r="A197" s="73"/>
      <c r="B197" s="74"/>
      <c r="C197" s="75"/>
      <c r="D197" s="76"/>
      <c r="E197" s="77"/>
      <c r="F197" s="78"/>
      <c r="G197" s="78"/>
      <c r="H197" s="79"/>
      <c r="I197" s="80"/>
      <c r="J197" s="77"/>
      <c r="K197" s="81" t="b">
        <v>0</v>
      </c>
      <c r="L197" s="78"/>
      <c r="M197" s="82"/>
      <c r="N197" s="78"/>
      <c r="O197" s="78"/>
      <c r="P197" s="78"/>
      <c r="Q197" s="78"/>
      <c r="R197" s="78"/>
      <c r="S197" s="78"/>
      <c r="T197" s="83"/>
    </row>
    <row r="198" spans="1:20" ht="15" customHeight="1" x14ac:dyDescent="0.3">
      <c r="A198" s="73"/>
      <c r="B198" s="74"/>
      <c r="C198" s="75"/>
      <c r="D198" s="76"/>
      <c r="E198" s="77"/>
      <c r="F198" s="78"/>
      <c r="G198" s="78"/>
      <c r="H198" s="79"/>
      <c r="I198" s="80"/>
      <c r="J198" s="77"/>
      <c r="K198" s="81" t="b">
        <v>0</v>
      </c>
      <c r="L198" s="78"/>
      <c r="M198" s="82"/>
      <c r="N198" s="78"/>
      <c r="O198" s="78"/>
      <c r="P198" s="78"/>
      <c r="Q198" s="78"/>
      <c r="R198" s="78"/>
      <c r="S198" s="78"/>
      <c r="T198" s="83"/>
    </row>
    <row r="199" spans="1:20" ht="15" customHeight="1" x14ac:dyDescent="0.3">
      <c r="A199" s="73"/>
      <c r="B199" s="74"/>
      <c r="C199" s="75"/>
      <c r="D199" s="76"/>
      <c r="E199" s="77"/>
      <c r="F199" s="78"/>
      <c r="G199" s="78"/>
      <c r="H199" s="79"/>
      <c r="I199" s="80"/>
      <c r="J199" s="77"/>
      <c r="K199" s="81" t="b">
        <v>0</v>
      </c>
      <c r="L199" s="78"/>
      <c r="M199" s="82"/>
      <c r="N199" s="78"/>
      <c r="O199" s="78"/>
      <c r="P199" s="78"/>
      <c r="Q199" s="78"/>
      <c r="R199" s="78"/>
      <c r="S199" s="78"/>
      <c r="T199" s="83"/>
    </row>
    <row r="200" spans="1:20" ht="15" customHeight="1" x14ac:dyDescent="0.3">
      <c r="A200" s="73"/>
      <c r="B200" s="74"/>
      <c r="C200" s="75"/>
      <c r="D200" s="76"/>
      <c r="E200" s="77"/>
      <c r="F200" s="78"/>
      <c r="G200" s="78"/>
      <c r="H200" s="79"/>
      <c r="I200" s="80"/>
      <c r="J200" s="77"/>
      <c r="K200" s="81" t="b">
        <v>0</v>
      </c>
      <c r="L200" s="78"/>
      <c r="M200" s="82"/>
      <c r="N200" s="78"/>
      <c r="O200" s="78"/>
      <c r="P200" s="78"/>
      <c r="Q200" s="78"/>
      <c r="R200" s="78"/>
      <c r="S200" s="78"/>
      <c r="T200" s="83"/>
    </row>
    <row r="201" spans="1:20" ht="15" customHeight="1" x14ac:dyDescent="0.3">
      <c r="A201" s="73"/>
      <c r="B201" s="74"/>
      <c r="C201" s="75"/>
      <c r="D201" s="76"/>
      <c r="E201" s="77"/>
      <c r="F201" s="78"/>
      <c r="G201" s="78"/>
      <c r="H201" s="79"/>
      <c r="I201" s="80"/>
      <c r="J201" s="77"/>
      <c r="K201" s="81" t="b">
        <v>0</v>
      </c>
      <c r="L201" s="78"/>
      <c r="M201" s="82"/>
      <c r="N201" s="78"/>
      <c r="O201" s="78"/>
      <c r="P201" s="78"/>
      <c r="Q201" s="78"/>
      <c r="R201" s="78"/>
      <c r="S201" s="78"/>
      <c r="T201" s="83"/>
    </row>
    <row r="202" spans="1:20" ht="15" customHeight="1" x14ac:dyDescent="0.3">
      <c r="A202" s="73"/>
      <c r="B202" s="74"/>
      <c r="C202" s="75"/>
      <c r="D202" s="76"/>
      <c r="E202" s="77"/>
      <c r="F202" s="78"/>
      <c r="G202" s="78"/>
      <c r="H202" s="79"/>
      <c r="I202" s="80"/>
      <c r="J202" s="77"/>
      <c r="K202" s="81" t="b">
        <v>0</v>
      </c>
      <c r="L202" s="78"/>
      <c r="M202" s="82"/>
      <c r="N202" s="78"/>
      <c r="O202" s="78"/>
      <c r="P202" s="78"/>
      <c r="Q202" s="78"/>
      <c r="R202" s="78"/>
      <c r="S202" s="78"/>
      <c r="T202" s="83"/>
    </row>
    <row r="203" spans="1:20" ht="15" customHeight="1" x14ac:dyDescent="0.3">
      <c r="A203" s="73"/>
      <c r="B203" s="74"/>
      <c r="C203" s="75"/>
      <c r="D203" s="76"/>
      <c r="E203" s="77"/>
      <c r="F203" s="78"/>
      <c r="G203" s="78"/>
      <c r="H203" s="79"/>
      <c r="I203" s="80"/>
      <c r="J203" s="77"/>
      <c r="K203" s="81" t="b">
        <v>0</v>
      </c>
      <c r="L203" s="78"/>
      <c r="M203" s="82"/>
      <c r="N203" s="78"/>
      <c r="O203" s="78"/>
      <c r="P203" s="78"/>
      <c r="Q203" s="78"/>
      <c r="R203" s="78"/>
      <c r="S203" s="78"/>
      <c r="T203" s="83"/>
    </row>
    <row r="204" spans="1:20" ht="15" customHeight="1" x14ac:dyDescent="0.3">
      <c r="A204" s="73"/>
      <c r="B204" s="74"/>
      <c r="C204" s="75"/>
      <c r="D204" s="76"/>
      <c r="E204" s="77"/>
      <c r="F204" s="78"/>
      <c r="G204" s="78"/>
      <c r="H204" s="79"/>
      <c r="I204" s="80"/>
      <c r="J204" s="77"/>
      <c r="K204" s="81" t="b">
        <v>0</v>
      </c>
      <c r="L204" s="78"/>
      <c r="M204" s="82"/>
      <c r="N204" s="78"/>
      <c r="O204" s="78"/>
      <c r="P204" s="78"/>
      <c r="Q204" s="78"/>
      <c r="R204" s="78"/>
      <c r="S204" s="78"/>
      <c r="T204" s="83"/>
    </row>
    <row r="205" spans="1:20" ht="15" customHeight="1" x14ac:dyDescent="0.3">
      <c r="A205" s="73"/>
      <c r="B205" s="74"/>
      <c r="C205" s="75"/>
      <c r="D205" s="76"/>
      <c r="E205" s="77"/>
      <c r="F205" s="78"/>
      <c r="G205" s="78"/>
      <c r="H205" s="79"/>
      <c r="I205" s="80"/>
      <c r="J205" s="77"/>
      <c r="K205" s="81" t="b">
        <v>0</v>
      </c>
      <c r="L205" s="78"/>
      <c r="M205" s="82"/>
      <c r="N205" s="78"/>
      <c r="O205" s="78"/>
      <c r="P205" s="78"/>
      <c r="Q205" s="78"/>
      <c r="R205" s="78"/>
      <c r="S205" s="78"/>
      <c r="T205" s="83"/>
    </row>
    <row r="206" spans="1:20" ht="15" customHeight="1" x14ac:dyDescent="0.3">
      <c r="A206" s="73"/>
      <c r="B206" s="74"/>
      <c r="C206" s="75"/>
      <c r="D206" s="76"/>
      <c r="E206" s="77"/>
      <c r="F206" s="78"/>
      <c r="G206" s="78"/>
      <c r="H206" s="79"/>
      <c r="I206" s="80"/>
      <c r="J206" s="77"/>
      <c r="K206" s="81" t="b">
        <v>0</v>
      </c>
      <c r="L206" s="78"/>
      <c r="M206" s="82"/>
      <c r="N206" s="78"/>
      <c r="O206" s="78"/>
      <c r="P206" s="78"/>
      <c r="Q206" s="78"/>
      <c r="R206" s="78"/>
      <c r="S206" s="78"/>
      <c r="T206" s="83"/>
    </row>
    <row r="207" spans="1:20" ht="15" customHeight="1" x14ac:dyDescent="0.3">
      <c r="A207" s="73"/>
      <c r="B207" s="74"/>
      <c r="C207" s="75"/>
      <c r="D207" s="76"/>
      <c r="E207" s="77"/>
      <c r="F207" s="78"/>
      <c r="G207" s="78"/>
      <c r="H207" s="79"/>
      <c r="I207" s="80"/>
      <c r="J207" s="77"/>
      <c r="K207" s="81" t="b">
        <v>0</v>
      </c>
      <c r="L207" s="78"/>
      <c r="M207" s="82"/>
      <c r="N207" s="78"/>
      <c r="O207" s="78"/>
      <c r="P207" s="78"/>
      <c r="Q207" s="78"/>
      <c r="R207" s="78"/>
      <c r="S207" s="78"/>
      <c r="T207" s="83"/>
    </row>
    <row r="208" spans="1:20" ht="15" customHeight="1" x14ac:dyDescent="0.3">
      <c r="A208" s="73"/>
      <c r="B208" s="74"/>
      <c r="C208" s="75"/>
      <c r="D208" s="76"/>
      <c r="E208" s="77"/>
      <c r="F208" s="78"/>
      <c r="G208" s="78"/>
      <c r="H208" s="79"/>
      <c r="I208" s="80"/>
      <c r="J208" s="77"/>
      <c r="K208" s="81" t="b">
        <v>0</v>
      </c>
      <c r="L208" s="78"/>
      <c r="M208" s="82"/>
      <c r="N208" s="78"/>
      <c r="O208" s="78"/>
      <c r="P208" s="78"/>
      <c r="Q208" s="78"/>
      <c r="R208" s="78"/>
      <c r="S208" s="78"/>
      <c r="T208" s="83"/>
    </row>
    <row r="209" spans="1:20" ht="15" customHeight="1" x14ac:dyDescent="0.3">
      <c r="A209" s="73"/>
      <c r="B209" s="74"/>
      <c r="C209" s="75"/>
      <c r="D209" s="76"/>
      <c r="E209" s="77"/>
      <c r="F209" s="78"/>
      <c r="G209" s="78"/>
      <c r="H209" s="79"/>
      <c r="I209" s="80"/>
      <c r="J209" s="77"/>
      <c r="K209" s="81" t="b">
        <v>0</v>
      </c>
      <c r="L209" s="78"/>
      <c r="M209" s="82"/>
      <c r="N209" s="78"/>
      <c r="O209" s="78"/>
      <c r="P209" s="78"/>
      <c r="Q209" s="78"/>
      <c r="R209" s="78"/>
      <c r="S209" s="78"/>
      <c r="T209" s="83"/>
    </row>
    <row r="210" spans="1:20" ht="15" customHeight="1" x14ac:dyDescent="0.3">
      <c r="A210" s="73"/>
      <c r="B210" s="74"/>
      <c r="C210" s="75"/>
      <c r="D210" s="76"/>
      <c r="E210" s="77"/>
      <c r="F210" s="78"/>
      <c r="G210" s="78"/>
      <c r="H210" s="79"/>
      <c r="I210" s="80"/>
      <c r="J210" s="77"/>
      <c r="K210" s="81" t="b">
        <v>0</v>
      </c>
      <c r="L210" s="78"/>
      <c r="M210" s="82"/>
      <c r="N210" s="78"/>
      <c r="O210" s="78"/>
      <c r="P210" s="78"/>
      <c r="Q210" s="78"/>
      <c r="R210" s="78"/>
      <c r="S210" s="78"/>
      <c r="T210" s="83"/>
    </row>
    <row r="211" spans="1:20" ht="15" customHeight="1" x14ac:dyDescent="0.3">
      <c r="A211" s="73"/>
      <c r="B211" s="74"/>
      <c r="C211" s="75"/>
      <c r="D211" s="76"/>
      <c r="E211" s="77"/>
      <c r="F211" s="78"/>
      <c r="G211" s="78"/>
      <c r="H211" s="79"/>
      <c r="I211" s="80"/>
      <c r="J211" s="77"/>
      <c r="K211" s="81" t="b">
        <v>0</v>
      </c>
      <c r="L211" s="78"/>
      <c r="M211" s="82"/>
      <c r="N211" s="78"/>
      <c r="O211" s="78"/>
      <c r="P211" s="78"/>
      <c r="Q211" s="78"/>
      <c r="R211" s="78"/>
      <c r="S211" s="78"/>
      <c r="T211" s="83"/>
    </row>
    <row r="212" spans="1:20" ht="15" customHeight="1" x14ac:dyDescent="0.3">
      <c r="A212" s="73"/>
      <c r="B212" s="74"/>
      <c r="C212" s="75"/>
      <c r="D212" s="76"/>
      <c r="E212" s="77"/>
      <c r="F212" s="78"/>
      <c r="G212" s="78"/>
      <c r="H212" s="79"/>
      <c r="I212" s="80"/>
      <c r="J212" s="77"/>
      <c r="K212" s="81" t="b">
        <v>0</v>
      </c>
      <c r="L212" s="78"/>
      <c r="M212" s="82"/>
      <c r="N212" s="78"/>
      <c r="O212" s="78"/>
      <c r="P212" s="78"/>
      <c r="Q212" s="78"/>
      <c r="R212" s="78"/>
      <c r="S212" s="78"/>
      <c r="T212" s="83"/>
    </row>
    <row r="213" spans="1:20" ht="15" customHeight="1" x14ac:dyDescent="0.3">
      <c r="A213" s="73"/>
      <c r="B213" s="74"/>
      <c r="C213" s="75"/>
      <c r="D213" s="76"/>
      <c r="E213" s="77"/>
      <c r="F213" s="78"/>
      <c r="G213" s="78"/>
      <c r="H213" s="79"/>
      <c r="I213" s="80"/>
      <c r="J213" s="77"/>
      <c r="K213" s="81" t="b">
        <v>0</v>
      </c>
      <c r="L213" s="78"/>
      <c r="M213" s="82"/>
      <c r="N213" s="78"/>
      <c r="O213" s="78"/>
      <c r="P213" s="78"/>
      <c r="Q213" s="78"/>
      <c r="R213" s="78"/>
      <c r="S213" s="78"/>
      <c r="T213" s="83"/>
    </row>
    <row r="214" spans="1:20" ht="15" customHeight="1" x14ac:dyDescent="0.3">
      <c r="A214" s="73"/>
      <c r="B214" s="74"/>
      <c r="C214" s="75"/>
      <c r="D214" s="76"/>
      <c r="E214" s="77"/>
      <c r="F214" s="78"/>
      <c r="G214" s="78"/>
      <c r="H214" s="79"/>
      <c r="I214" s="80"/>
      <c r="J214" s="77"/>
      <c r="K214" s="81" t="b">
        <v>0</v>
      </c>
      <c r="L214" s="78"/>
      <c r="M214" s="82"/>
      <c r="N214" s="78"/>
      <c r="O214" s="78"/>
      <c r="P214" s="78"/>
      <c r="Q214" s="78"/>
      <c r="R214" s="78"/>
      <c r="S214" s="78"/>
      <c r="T214" s="83"/>
    </row>
    <row r="215" spans="1:20" ht="15" customHeight="1" x14ac:dyDescent="0.3">
      <c r="A215" s="73"/>
      <c r="B215" s="74"/>
      <c r="C215" s="75"/>
      <c r="D215" s="76"/>
      <c r="E215" s="77"/>
      <c r="F215" s="78"/>
      <c r="G215" s="78"/>
      <c r="H215" s="79"/>
      <c r="I215" s="80"/>
      <c r="J215" s="77"/>
      <c r="K215" s="81" t="b">
        <v>0</v>
      </c>
      <c r="L215" s="78"/>
      <c r="M215" s="82"/>
      <c r="N215" s="78"/>
      <c r="O215" s="78"/>
      <c r="P215" s="78"/>
      <c r="Q215" s="78"/>
      <c r="R215" s="78"/>
      <c r="S215" s="78"/>
      <c r="T215" s="83"/>
    </row>
    <row r="216" spans="1:20" ht="15" customHeight="1" x14ac:dyDescent="0.3">
      <c r="A216" s="73"/>
      <c r="B216" s="74"/>
      <c r="C216" s="75"/>
      <c r="D216" s="76"/>
      <c r="E216" s="77"/>
      <c r="F216" s="78"/>
      <c r="G216" s="78"/>
      <c r="H216" s="79"/>
      <c r="I216" s="80"/>
      <c r="J216" s="77"/>
      <c r="K216" s="81" t="b">
        <v>0</v>
      </c>
      <c r="L216" s="78"/>
      <c r="M216" s="82"/>
      <c r="N216" s="78"/>
      <c r="O216" s="78"/>
      <c r="P216" s="78"/>
      <c r="Q216" s="78"/>
      <c r="R216" s="78"/>
      <c r="S216" s="78"/>
      <c r="T216" s="83"/>
    </row>
    <row r="217" spans="1:20" ht="15" customHeight="1" x14ac:dyDescent="0.3">
      <c r="A217" s="73"/>
      <c r="B217" s="74"/>
      <c r="C217" s="75"/>
      <c r="D217" s="76"/>
      <c r="E217" s="77"/>
      <c r="F217" s="78"/>
      <c r="G217" s="78"/>
      <c r="H217" s="79"/>
      <c r="I217" s="80"/>
      <c r="J217" s="77"/>
      <c r="K217" s="81" t="b">
        <v>0</v>
      </c>
      <c r="L217" s="78"/>
      <c r="M217" s="82"/>
      <c r="N217" s="78"/>
      <c r="O217" s="78"/>
      <c r="P217" s="78"/>
      <c r="Q217" s="78"/>
      <c r="R217" s="78"/>
      <c r="S217" s="78"/>
      <c r="T217" s="83"/>
    </row>
    <row r="218" spans="1:20" ht="15" customHeight="1" x14ac:dyDescent="0.3">
      <c r="A218" s="73"/>
      <c r="B218" s="74"/>
      <c r="C218" s="75"/>
      <c r="D218" s="76"/>
      <c r="E218" s="77"/>
      <c r="F218" s="78"/>
      <c r="G218" s="78"/>
      <c r="H218" s="79"/>
      <c r="I218" s="80"/>
      <c r="J218" s="77"/>
      <c r="K218" s="81" t="b">
        <v>0</v>
      </c>
      <c r="L218" s="78"/>
      <c r="M218" s="82"/>
      <c r="N218" s="78"/>
      <c r="O218" s="78"/>
      <c r="P218" s="78"/>
      <c r="Q218" s="78"/>
      <c r="R218" s="78"/>
      <c r="S218" s="78"/>
      <c r="T218" s="83"/>
    </row>
    <row r="219" spans="1:20" ht="15" customHeight="1" x14ac:dyDescent="0.3">
      <c r="A219" s="73"/>
      <c r="B219" s="74"/>
      <c r="C219" s="75"/>
      <c r="D219" s="76"/>
      <c r="E219" s="77"/>
      <c r="F219" s="78"/>
      <c r="G219" s="78"/>
      <c r="H219" s="79"/>
      <c r="I219" s="80"/>
      <c r="J219" s="77"/>
      <c r="K219" s="81" t="b">
        <v>0</v>
      </c>
      <c r="L219" s="78"/>
      <c r="M219" s="82"/>
      <c r="N219" s="78"/>
      <c r="O219" s="78"/>
      <c r="P219" s="78"/>
      <c r="Q219" s="78"/>
      <c r="R219" s="78"/>
      <c r="S219" s="78"/>
      <c r="T219" s="83"/>
    </row>
    <row r="220" spans="1:20" ht="15" customHeight="1" x14ac:dyDescent="0.3">
      <c r="A220" s="73"/>
      <c r="B220" s="74"/>
      <c r="C220" s="75"/>
      <c r="D220" s="76"/>
      <c r="E220" s="77"/>
      <c r="F220" s="78"/>
      <c r="G220" s="78"/>
      <c r="H220" s="79"/>
      <c r="I220" s="80"/>
      <c r="J220" s="77"/>
      <c r="K220" s="81" t="b">
        <v>0</v>
      </c>
      <c r="L220" s="78"/>
      <c r="M220" s="82"/>
      <c r="N220" s="78"/>
      <c r="O220" s="78"/>
      <c r="P220" s="78"/>
      <c r="Q220" s="78"/>
      <c r="R220" s="78"/>
      <c r="S220" s="78"/>
      <c r="T220" s="83"/>
    </row>
    <row r="221" spans="1:20" ht="15" customHeight="1" x14ac:dyDescent="0.3">
      <c r="A221" s="73"/>
      <c r="B221" s="74"/>
      <c r="C221" s="75"/>
      <c r="D221" s="76"/>
      <c r="E221" s="77"/>
      <c r="F221" s="78"/>
      <c r="G221" s="78"/>
      <c r="H221" s="79"/>
      <c r="I221" s="80"/>
      <c r="J221" s="77"/>
      <c r="K221" s="81" t="b">
        <v>0</v>
      </c>
      <c r="L221" s="78"/>
      <c r="M221" s="82"/>
      <c r="N221" s="78"/>
      <c r="O221" s="78"/>
      <c r="P221" s="78"/>
      <c r="Q221" s="78"/>
      <c r="R221" s="78"/>
      <c r="S221" s="78"/>
      <c r="T221" s="83"/>
    </row>
    <row r="222" spans="1:20" ht="15" customHeight="1" x14ac:dyDescent="0.3">
      <c r="A222" s="73"/>
      <c r="B222" s="74"/>
      <c r="C222" s="75"/>
      <c r="D222" s="76"/>
      <c r="E222" s="77"/>
      <c r="F222" s="78"/>
      <c r="G222" s="78"/>
      <c r="H222" s="79"/>
      <c r="I222" s="80"/>
      <c r="J222" s="77"/>
      <c r="K222" s="81" t="b">
        <v>0</v>
      </c>
      <c r="L222" s="78"/>
      <c r="M222" s="82"/>
      <c r="N222" s="78"/>
      <c r="O222" s="78"/>
      <c r="P222" s="78"/>
      <c r="Q222" s="78"/>
      <c r="R222" s="78"/>
      <c r="S222" s="78"/>
      <c r="T222" s="83"/>
    </row>
    <row r="223" spans="1:20" ht="15" customHeight="1" x14ac:dyDescent="0.3">
      <c r="A223" s="73"/>
      <c r="B223" s="74"/>
      <c r="C223" s="75"/>
      <c r="D223" s="76"/>
      <c r="E223" s="77"/>
      <c r="F223" s="78"/>
      <c r="G223" s="78"/>
      <c r="H223" s="79"/>
      <c r="I223" s="80"/>
      <c r="J223" s="77"/>
      <c r="K223" s="81" t="b">
        <v>0</v>
      </c>
      <c r="L223" s="78"/>
      <c r="M223" s="82"/>
      <c r="N223" s="78"/>
      <c r="O223" s="78"/>
      <c r="P223" s="78"/>
      <c r="Q223" s="78"/>
      <c r="R223" s="78"/>
      <c r="S223" s="78"/>
      <c r="T223" s="83"/>
    </row>
    <row r="224" spans="1:20" ht="15" customHeight="1" x14ac:dyDescent="0.3">
      <c r="A224" s="73"/>
      <c r="B224" s="74"/>
      <c r="C224" s="75"/>
      <c r="D224" s="76"/>
      <c r="E224" s="77"/>
      <c r="F224" s="78"/>
      <c r="G224" s="78"/>
      <c r="H224" s="79"/>
      <c r="I224" s="80"/>
      <c r="J224" s="77"/>
      <c r="K224" s="81" t="b">
        <v>0</v>
      </c>
      <c r="L224" s="78"/>
      <c r="M224" s="82"/>
      <c r="N224" s="78"/>
      <c r="O224" s="78"/>
      <c r="P224" s="78"/>
      <c r="Q224" s="78"/>
      <c r="R224" s="78"/>
      <c r="S224" s="78"/>
      <c r="T224" s="83"/>
    </row>
    <row r="225" spans="1:20" ht="15" customHeight="1" x14ac:dyDescent="0.3">
      <c r="A225" s="73"/>
      <c r="B225" s="74"/>
      <c r="C225" s="75"/>
      <c r="D225" s="76"/>
      <c r="E225" s="77"/>
      <c r="F225" s="78"/>
      <c r="G225" s="78"/>
      <c r="H225" s="79"/>
      <c r="I225" s="80"/>
      <c r="J225" s="77"/>
      <c r="K225" s="81" t="b">
        <v>0</v>
      </c>
      <c r="L225" s="78"/>
      <c r="M225" s="82"/>
      <c r="N225" s="78"/>
      <c r="O225" s="78"/>
      <c r="P225" s="78"/>
      <c r="Q225" s="78"/>
      <c r="R225" s="78"/>
      <c r="S225" s="78"/>
      <c r="T225" s="83"/>
    </row>
    <row r="226" spans="1:20" ht="15" customHeight="1" x14ac:dyDescent="0.3">
      <c r="A226" s="73"/>
      <c r="B226" s="74"/>
      <c r="C226" s="75"/>
      <c r="D226" s="76"/>
      <c r="E226" s="77"/>
      <c r="F226" s="78"/>
      <c r="G226" s="78"/>
      <c r="H226" s="79"/>
      <c r="I226" s="80"/>
      <c r="J226" s="77"/>
      <c r="K226" s="81" t="b">
        <v>0</v>
      </c>
      <c r="L226" s="78"/>
      <c r="M226" s="82"/>
      <c r="N226" s="78"/>
      <c r="O226" s="78"/>
      <c r="P226" s="78"/>
      <c r="Q226" s="78"/>
      <c r="R226" s="78"/>
      <c r="S226" s="78"/>
      <c r="T226" s="83"/>
    </row>
    <row r="227" spans="1:20" ht="15" customHeight="1" x14ac:dyDescent="0.3">
      <c r="A227" s="73"/>
      <c r="B227" s="74"/>
      <c r="C227" s="75"/>
      <c r="D227" s="76"/>
      <c r="E227" s="77"/>
      <c r="F227" s="78"/>
      <c r="G227" s="78"/>
      <c r="H227" s="79"/>
      <c r="I227" s="80"/>
      <c r="J227" s="77"/>
      <c r="K227" s="81" t="b">
        <v>0</v>
      </c>
      <c r="L227" s="78"/>
      <c r="M227" s="82"/>
      <c r="N227" s="78"/>
      <c r="O227" s="78"/>
      <c r="P227" s="78"/>
      <c r="Q227" s="78"/>
      <c r="R227" s="78"/>
      <c r="S227" s="78"/>
      <c r="T227" s="83"/>
    </row>
    <row r="228" spans="1:20" ht="15" customHeight="1" x14ac:dyDescent="0.3">
      <c r="A228" s="73"/>
      <c r="B228" s="74"/>
      <c r="C228" s="75"/>
      <c r="D228" s="76"/>
      <c r="E228" s="77"/>
      <c r="F228" s="78"/>
      <c r="G228" s="78"/>
      <c r="H228" s="79"/>
      <c r="I228" s="80"/>
      <c r="J228" s="77"/>
      <c r="K228" s="81" t="b">
        <v>0</v>
      </c>
      <c r="L228" s="78"/>
      <c r="M228" s="82"/>
      <c r="N228" s="78"/>
      <c r="O228" s="78"/>
      <c r="P228" s="78"/>
      <c r="Q228" s="78"/>
      <c r="R228" s="78"/>
      <c r="S228" s="78"/>
      <c r="T228" s="83"/>
    </row>
    <row r="229" spans="1:20" ht="15" customHeight="1" x14ac:dyDescent="0.3">
      <c r="A229" s="73"/>
      <c r="B229" s="74"/>
      <c r="C229" s="75"/>
      <c r="D229" s="76"/>
      <c r="E229" s="77"/>
      <c r="F229" s="78"/>
      <c r="G229" s="78"/>
      <c r="H229" s="79"/>
      <c r="I229" s="80"/>
      <c r="J229" s="77"/>
      <c r="K229" s="81" t="b">
        <v>0</v>
      </c>
      <c r="L229" s="78"/>
      <c r="M229" s="82"/>
      <c r="N229" s="78"/>
      <c r="O229" s="78"/>
      <c r="P229" s="78"/>
      <c r="Q229" s="78"/>
      <c r="R229" s="78"/>
      <c r="S229" s="78"/>
      <c r="T229" s="83"/>
    </row>
    <row r="230" spans="1:20" ht="15" customHeight="1" x14ac:dyDescent="0.3">
      <c r="A230" s="73"/>
      <c r="B230" s="74"/>
      <c r="C230" s="75"/>
      <c r="D230" s="76"/>
      <c r="E230" s="77"/>
      <c r="F230" s="78"/>
      <c r="G230" s="78"/>
      <c r="H230" s="79"/>
      <c r="I230" s="80"/>
      <c r="J230" s="77"/>
      <c r="K230" s="81" t="b">
        <v>0</v>
      </c>
      <c r="L230" s="78"/>
      <c r="M230" s="82"/>
      <c r="N230" s="78"/>
      <c r="O230" s="78"/>
      <c r="P230" s="78"/>
      <c r="Q230" s="78"/>
      <c r="R230" s="78"/>
      <c r="S230" s="78"/>
      <c r="T230" s="83"/>
    </row>
    <row r="231" spans="1:20" ht="15" customHeight="1" x14ac:dyDescent="0.3">
      <c r="A231" s="73"/>
      <c r="B231" s="74"/>
      <c r="C231" s="75"/>
      <c r="D231" s="76"/>
      <c r="E231" s="77"/>
      <c r="F231" s="78"/>
      <c r="G231" s="78"/>
      <c r="H231" s="79"/>
      <c r="I231" s="80"/>
      <c r="J231" s="77"/>
      <c r="K231" s="81" t="b">
        <v>0</v>
      </c>
      <c r="L231" s="78"/>
      <c r="M231" s="82"/>
      <c r="N231" s="78"/>
      <c r="O231" s="78"/>
      <c r="P231" s="78"/>
      <c r="Q231" s="78"/>
      <c r="R231" s="78"/>
      <c r="S231" s="78"/>
      <c r="T231" s="83"/>
    </row>
    <row r="232" spans="1:20" ht="15" customHeight="1" x14ac:dyDescent="0.3">
      <c r="A232" s="73"/>
      <c r="B232" s="74"/>
      <c r="C232" s="75"/>
      <c r="D232" s="76"/>
      <c r="E232" s="77"/>
      <c r="F232" s="78"/>
      <c r="G232" s="78"/>
      <c r="H232" s="79"/>
      <c r="I232" s="80"/>
      <c r="J232" s="77"/>
      <c r="K232" s="81" t="b">
        <v>0</v>
      </c>
      <c r="L232" s="78"/>
      <c r="M232" s="82"/>
      <c r="N232" s="78"/>
      <c r="O232" s="78"/>
      <c r="P232" s="78"/>
      <c r="Q232" s="78"/>
      <c r="R232" s="78"/>
      <c r="S232" s="78"/>
      <c r="T232" s="83"/>
    </row>
    <row r="233" spans="1:20" ht="15" customHeight="1" x14ac:dyDescent="0.3">
      <c r="A233" s="73"/>
      <c r="B233" s="74"/>
      <c r="C233" s="75"/>
      <c r="D233" s="76"/>
      <c r="E233" s="77"/>
      <c r="F233" s="78"/>
      <c r="G233" s="78"/>
      <c r="H233" s="79"/>
      <c r="I233" s="80"/>
      <c r="J233" s="77"/>
      <c r="K233" s="81" t="b">
        <v>0</v>
      </c>
      <c r="L233" s="78"/>
      <c r="M233" s="82"/>
      <c r="N233" s="78"/>
      <c r="O233" s="78"/>
      <c r="P233" s="78"/>
      <c r="Q233" s="78"/>
      <c r="R233" s="78"/>
      <c r="S233" s="78"/>
      <c r="T233" s="83"/>
    </row>
    <row r="234" spans="1:20" ht="15" customHeight="1" x14ac:dyDescent="0.3">
      <c r="A234" s="73"/>
      <c r="B234" s="74"/>
      <c r="C234" s="75"/>
      <c r="D234" s="76"/>
      <c r="E234" s="77"/>
      <c r="F234" s="78"/>
      <c r="G234" s="78"/>
      <c r="H234" s="79"/>
      <c r="I234" s="80"/>
      <c r="J234" s="77"/>
      <c r="K234" s="81" t="b">
        <v>0</v>
      </c>
      <c r="L234" s="78"/>
      <c r="M234" s="82"/>
      <c r="N234" s="78"/>
      <c r="O234" s="78"/>
      <c r="P234" s="78"/>
      <c r="Q234" s="78"/>
      <c r="R234" s="78"/>
      <c r="S234" s="78"/>
      <c r="T234" s="83"/>
    </row>
    <row r="235" spans="1:20" ht="15" customHeight="1" x14ac:dyDescent="0.3">
      <c r="A235" s="73"/>
      <c r="B235" s="74"/>
      <c r="C235" s="75"/>
      <c r="D235" s="76"/>
      <c r="E235" s="77"/>
      <c r="F235" s="78"/>
      <c r="G235" s="78"/>
      <c r="H235" s="79"/>
      <c r="I235" s="80"/>
      <c r="J235" s="77"/>
      <c r="K235" s="81" t="b">
        <v>0</v>
      </c>
      <c r="L235" s="78"/>
      <c r="M235" s="82"/>
      <c r="N235" s="78"/>
      <c r="O235" s="78"/>
      <c r="P235" s="78"/>
      <c r="Q235" s="78"/>
      <c r="R235" s="78"/>
      <c r="S235" s="78"/>
      <c r="T235" s="83"/>
    </row>
    <row r="236" spans="1:20" ht="15" customHeight="1" x14ac:dyDescent="0.3">
      <c r="A236" s="73"/>
      <c r="B236" s="74"/>
      <c r="C236" s="75"/>
      <c r="D236" s="76"/>
      <c r="E236" s="77"/>
      <c r="F236" s="78"/>
      <c r="G236" s="78"/>
      <c r="H236" s="79"/>
      <c r="I236" s="80"/>
      <c r="J236" s="77"/>
      <c r="K236" s="81" t="b">
        <v>0</v>
      </c>
      <c r="L236" s="78"/>
      <c r="M236" s="82"/>
      <c r="N236" s="78"/>
      <c r="O236" s="78"/>
      <c r="P236" s="78"/>
      <c r="Q236" s="78"/>
      <c r="R236" s="78"/>
      <c r="S236" s="78"/>
      <c r="T236" s="83"/>
    </row>
    <row r="237" spans="1:20" ht="15" customHeight="1" x14ac:dyDescent="0.3">
      <c r="A237" s="73"/>
      <c r="B237" s="74"/>
      <c r="C237" s="75"/>
      <c r="D237" s="76"/>
      <c r="E237" s="77"/>
      <c r="F237" s="78"/>
      <c r="G237" s="78"/>
      <c r="H237" s="79"/>
      <c r="I237" s="80"/>
      <c r="J237" s="77"/>
      <c r="K237" s="81" t="b">
        <v>0</v>
      </c>
      <c r="L237" s="78"/>
      <c r="M237" s="82"/>
      <c r="N237" s="78"/>
      <c r="O237" s="78"/>
      <c r="P237" s="78"/>
      <c r="Q237" s="78"/>
      <c r="R237" s="78"/>
      <c r="S237" s="78"/>
      <c r="T237" s="83"/>
    </row>
    <row r="238" spans="1:20" ht="15" customHeight="1" x14ac:dyDescent="0.3">
      <c r="A238" s="73"/>
      <c r="B238" s="74"/>
      <c r="C238" s="75"/>
      <c r="D238" s="76"/>
      <c r="E238" s="77"/>
      <c r="F238" s="78"/>
      <c r="G238" s="78"/>
      <c r="H238" s="79"/>
      <c r="I238" s="80"/>
      <c r="J238" s="77"/>
      <c r="K238" s="81" t="b">
        <v>0</v>
      </c>
      <c r="L238" s="78"/>
      <c r="M238" s="82"/>
      <c r="N238" s="78"/>
      <c r="O238" s="78"/>
      <c r="P238" s="78"/>
      <c r="Q238" s="78"/>
      <c r="R238" s="78"/>
      <c r="S238" s="78"/>
      <c r="T238" s="83"/>
    </row>
    <row r="239" spans="1:20" ht="15" customHeight="1" x14ac:dyDescent="0.3">
      <c r="A239" s="73"/>
      <c r="B239" s="74"/>
      <c r="C239" s="75"/>
      <c r="D239" s="76"/>
      <c r="E239" s="77"/>
      <c r="F239" s="78"/>
      <c r="G239" s="78"/>
      <c r="H239" s="79"/>
      <c r="I239" s="80"/>
      <c r="J239" s="77"/>
      <c r="K239" s="81" t="b">
        <v>0</v>
      </c>
      <c r="L239" s="78"/>
      <c r="M239" s="82"/>
      <c r="N239" s="78"/>
      <c r="O239" s="78"/>
      <c r="P239" s="78"/>
      <c r="Q239" s="78"/>
      <c r="R239" s="78"/>
      <c r="S239" s="78"/>
      <c r="T239" s="83"/>
    </row>
    <row r="240" spans="1:20" ht="15" customHeight="1" x14ac:dyDescent="0.3">
      <c r="A240" s="73"/>
      <c r="B240" s="74"/>
      <c r="C240" s="75"/>
      <c r="D240" s="76"/>
      <c r="E240" s="77"/>
      <c r="F240" s="78"/>
      <c r="G240" s="78"/>
      <c r="H240" s="79"/>
      <c r="I240" s="80"/>
      <c r="J240" s="77"/>
      <c r="K240" s="81" t="b">
        <v>0</v>
      </c>
      <c r="L240" s="78"/>
      <c r="M240" s="82"/>
      <c r="N240" s="78"/>
      <c r="O240" s="78"/>
      <c r="P240" s="78"/>
      <c r="Q240" s="78"/>
      <c r="R240" s="78"/>
      <c r="S240" s="78"/>
      <c r="T240" s="83"/>
    </row>
    <row r="241" spans="1:20" ht="15" customHeight="1" x14ac:dyDescent="0.3">
      <c r="A241" s="73"/>
      <c r="B241" s="74"/>
      <c r="C241" s="75"/>
      <c r="D241" s="76"/>
      <c r="E241" s="77"/>
      <c r="F241" s="78"/>
      <c r="G241" s="78"/>
      <c r="H241" s="79"/>
      <c r="I241" s="80"/>
      <c r="J241" s="77"/>
      <c r="K241" s="81" t="b">
        <v>0</v>
      </c>
      <c r="L241" s="78"/>
      <c r="M241" s="82"/>
      <c r="N241" s="78"/>
      <c r="O241" s="78"/>
      <c r="P241" s="78"/>
      <c r="Q241" s="78"/>
      <c r="R241" s="78"/>
      <c r="S241" s="78"/>
      <c r="T241" s="83"/>
    </row>
    <row r="242" spans="1:20" ht="15" customHeight="1" x14ac:dyDescent="0.3">
      <c r="A242" s="73"/>
      <c r="B242" s="74"/>
      <c r="C242" s="75"/>
      <c r="D242" s="76"/>
      <c r="E242" s="77"/>
      <c r="F242" s="78"/>
      <c r="G242" s="78"/>
      <c r="H242" s="79"/>
      <c r="I242" s="80"/>
      <c r="J242" s="77"/>
      <c r="K242" s="81" t="b">
        <v>0</v>
      </c>
      <c r="L242" s="78"/>
      <c r="M242" s="82"/>
      <c r="N242" s="78"/>
      <c r="O242" s="78"/>
      <c r="P242" s="78"/>
      <c r="Q242" s="78"/>
      <c r="R242" s="78"/>
      <c r="S242" s="78"/>
      <c r="T242" s="83"/>
    </row>
    <row r="243" spans="1:20" ht="15" customHeight="1" x14ac:dyDescent="0.3">
      <c r="A243" s="73"/>
      <c r="B243" s="74"/>
      <c r="C243" s="75"/>
      <c r="D243" s="76"/>
      <c r="E243" s="77"/>
      <c r="F243" s="78"/>
      <c r="G243" s="78"/>
      <c r="H243" s="79"/>
      <c r="I243" s="80"/>
      <c r="J243" s="77"/>
      <c r="K243" s="81" t="b">
        <v>0</v>
      </c>
      <c r="L243" s="78"/>
      <c r="M243" s="82"/>
      <c r="N243" s="78"/>
      <c r="O243" s="78"/>
      <c r="P243" s="78"/>
      <c r="Q243" s="78"/>
      <c r="R243" s="78"/>
      <c r="S243" s="78"/>
      <c r="T243" s="83"/>
    </row>
    <row r="244" spans="1:20" ht="15" customHeight="1" x14ac:dyDescent="0.3">
      <c r="A244" s="73"/>
      <c r="B244" s="74"/>
      <c r="C244" s="75"/>
      <c r="D244" s="76"/>
      <c r="E244" s="77"/>
      <c r="F244" s="78"/>
      <c r="G244" s="78"/>
      <c r="H244" s="79"/>
      <c r="I244" s="80"/>
      <c r="J244" s="77"/>
      <c r="K244" s="81" t="b">
        <v>0</v>
      </c>
      <c r="L244" s="78"/>
      <c r="M244" s="82"/>
      <c r="N244" s="78"/>
      <c r="O244" s="78"/>
      <c r="P244" s="78"/>
      <c r="Q244" s="78"/>
      <c r="R244" s="78"/>
      <c r="S244" s="78"/>
      <c r="T244" s="83"/>
    </row>
    <row r="245" spans="1:20" ht="15" customHeight="1" x14ac:dyDescent="0.3">
      <c r="A245" s="73"/>
      <c r="B245" s="74"/>
      <c r="C245" s="75"/>
      <c r="D245" s="76"/>
      <c r="E245" s="77"/>
      <c r="F245" s="78"/>
      <c r="G245" s="78"/>
      <c r="H245" s="79"/>
      <c r="I245" s="80"/>
      <c r="J245" s="77"/>
      <c r="K245" s="81" t="b">
        <v>0</v>
      </c>
      <c r="L245" s="78"/>
      <c r="M245" s="82"/>
      <c r="N245" s="78"/>
      <c r="O245" s="78"/>
      <c r="P245" s="78"/>
      <c r="Q245" s="78"/>
      <c r="R245" s="78"/>
      <c r="S245" s="78"/>
      <c r="T245" s="83"/>
    </row>
    <row r="246" spans="1:20" ht="15" customHeight="1" x14ac:dyDescent="0.3">
      <c r="A246" s="73"/>
      <c r="B246" s="74"/>
      <c r="C246" s="75"/>
      <c r="D246" s="76"/>
      <c r="E246" s="77"/>
      <c r="F246" s="78"/>
      <c r="G246" s="78"/>
      <c r="H246" s="79"/>
      <c r="I246" s="80"/>
      <c r="J246" s="77"/>
      <c r="K246" s="81" t="b">
        <v>0</v>
      </c>
      <c r="L246" s="78"/>
      <c r="M246" s="82"/>
      <c r="N246" s="78"/>
      <c r="O246" s="78"/>
      <c r="P246" s="78"/>
      <c r="Q246" s="78"/>
      <c r="R246" s="78"/>
      <c r="S246" s="78"/>
      <c r="T246" s="83"/>
    </row>
    <row r="247" spans="1:20" ht="15" customHeight="1" x14ac:dyDescent="0.3">
      <c r="A247" s="73"/>
      <c r="B247" s="74"/>
      <c r="C247" s="75"/>
      <c r="D247" s="76"/>
      <c r="E247" s="77"/>
      <c r="F247" s="78"/>
      <c r="G247" s="78"/>
      <c r="H247" s="79"/>
      <c r="I247" s="80"/>
      <c r="J247" s="77"/>
      <c r="K247" s="81" t="b">
        <v>0</v>
      </c>
      <c r="L247" s="78"/>
      <c r="M247" s="82"/>
      <c r="N247" s="78"/>
      <c r="O247" s="78"/>
      <c r="P247" s="78"/>
      <c r="Q247" s="78"/>
      <c r="R247" s="78"/>
      <c r="S247" s="78"/>
      <c r="T247" s="83"/>
    </row>
    <row r="248" spans="1:20" ht="15" customHeight="1" x14ac:dyDescent="0.3">
      <c r="A248" s="73"/>
      <c r="B248" s="74"/>
      <c r="C248" s="75"/>
      <c r="D248" s="76"/>
      <c r="E248" s="77"/>
      <c r="F248" s="78"/>
      <c r="G248" s="78"/>
      <c r="H248" s="79"/>
      <c r="I248" s="80"/>
      <c r="J248" s="77"/>
      <c r="K248" s="81" t="b">
        <v>0</v>
      </c>
      <c r="L248" s="78"/>
      <c r="M248" s="82"/>
      <c r="N248" s="78"/>
      <c r="O248" s="78"/>
      <c r="P248" s="78"/>
      <c r="Q248" s="78"/>
      <c r="R248" s="78"/>
      <c r="S248" s="78"/>
      <c r="T248" s="83"/>
    </row>
    <row r="249" spans="1:20" ht="15" customHeight="1" x14ac:dyDescent="0.3">
      <c r="A249" s="73"/>
      <c r="B249" s="74"/>
      <c r="C249" s="75"/>
      <c r="D249" s="76"/>
      <c r="E249" s="77"/>
      <c r="F249" s="78"/>
      <c r="G249" s="78"/>
      <c r="H249" s="79"/>
      <c r="I249" s="80"/>
      <c r="J249" s="77"/>
      <c r="K249" s="81" t="b">
        <v>0</v>
      </c>
      <c r="L249" s="78"/>
      <c r="M249" s="82"/>
      <c r="N249" s="78"/>
      <c r="O249" s="78"/>
      <c r="P249" s="78"/>
      <c r="Q249" s="78"/>
      <c r="R249" s="78"/>
      <c r="S249" s="78"/>
      <c r="T249" s="83"/>
    </row>
    <row r="250" spans="1:20" ht="15" customHeight="1" x14ac:dyDescent="0.3">
      <c r="A250" s="73"/>
      <c r="B250" s="74"/>
      <c r="C250" s="75"/>
      <c r="D250" s="76"/>
      <c r="E250" s="77"/>
      <c r="F250" s="78"/>
      <c r="G250" s="78"/>
      <c r="H250" s="79"/>
      <c r="I250" s="80"/>
      <c r="J250" s="77"/>
      <c r="K250" s="81" t="b">
        <v>0</v>
      </c>
      <c r="L250" s="78"/>
      <c r="M250" s="82"/>
      <c r="N250" s="78"/>
      <c r="O250" s="78"/>
      <c r="P250" s="78"/>
      <c r="Q250" s="78"/>
      <c r="R250" s="78"/>
      <c r="S250" s="78"/>
      <c r="T250" s="83"/>
    </row>
    <row r="251" spans="1:20" ht="15" customHeight="1" x14ac:dyDescent="0.3">
      <c r="A251" s="73"/>
      <c r="B251" s="74"/>
      <c r="C251" s="75"/>
      <c r="D251" s="76"/>
      <c r="E251" s="77"/>
      <c r="F251" s="78"/>
      <c r="G251" s="78"/>
      <c r="H251" s="79"/>
      <c r="I251" s="80"/>
      <c r="J251" s="77"/>
      <c r="K251" s="81" t="b">
        <v>0</v>
      </c>
      <c r="L251" s="78"/>
      <c r="M251" s="82"/>
      <c r="N251" s="78"/>
      <c r="O251" s="78"/>
      <c r="P251" s="78"/>
      <c r="Q251" s="78"/>
      <c r="R251" s="78"/>
      <c r="S251" s="78"/>
      <c r="T251" s="83"/>
    </row>
    <row r="252" spans="1:20" ht="15" customHeight="1" x14ac:dyDescent="0.3">
      <c r="A252" s="73"/>
      <c r="B252" s="74"/>
      <c r="C252" s="75"/>
      <c r="D252" s="76"/>
      <c r="E252" s="77"/>
      <c r="F252" s="78"/>
      <c r="G252" s="78"/>
      <c r="H252" s="79"/>
      <c r="I252" s="80"/>
      <c r="J252" s="77"/>
      <c r="K252" s="81" t="b">
        <v>0</v>
      </c>
      <c r="L252" s="78"/>
      <c r="M252" s="82"/>
      <c r="N252" s="78"/>
      <c r="O252" s="78"/>
      <c r="P252" s="78"/>
      <c r="Q252" s="78"/>
      <c r="R252" s="78"/>
      <c r="S252" s="78"/>
      <c r="T252" s="83"/>
    </row>
    <row r="253" spans="1:20" ht="15" customHeight="1" x14ac:dyDescent="0.3">
      <c r="A253" s="73"/>
      <c r="B253" s="74"/>
      <c r="C253" s="75"/>
      <c r="D253" s="76"/>
      <c r="E253" s="77"/>
      <c r="F253" s="78"/>
      <c r="G253" s="78"/>
      <c r="H253" s="79"/>
      <c r="I253" s="80"/>
      <c r="J253" s="77"/>
      <c r="K253" s="81" t="b">
        <v>0</v>
      </c>
      <c r="L253" s="78"/>
      <c r="M253" s="82"/>
      <c r="N253" s="78"/>
      <c r="O253" s="78"/>
      <c r="P253" s="78"/>
      <c r="Q253" s="78"/>
      <c r="R253" s="78"/>
      <c r="S253" s="78"/>
      <c r="T253" s="83"/>
    </row>
    <row r="254" spans="1:20" ht="15" customHeight="1" x14ac:dyDescent="0.3">
      <c r="A254" s="73"/>
      <c r="B254" s="74"/>
      <c r="C254" s="75"/>
      <c r="D254" s="76"/>
      <c r="E254" s="77"/>
      <c r="F254" s="78"/>
      <c r="G254" s="78"/>
      <c r="H254" s="79"/>
      <c r="I254" s="80"/>
      <c r="J254" s="77"/>
      <c r="K254" s="81" t="b">
        <v>0</v>
      </c>
      <c r="L254" s="78"/>
      <c r="M254" s="82"/>
      <c r="N254" s="78"/>
      <c r="O254" s="78"/>
      <c r="P254" s="78"/>
      <c r="Q254" s="78"/>
      <c r="R254" s="78"/>
      <c r="S254" s="78"/>
      <c r="T254" s="83"/>
    </row>
    <row r="255" spans="1:20" ht="15" customHeight="1" x14ac:dyDescent="0.3">
      <c r="A255" s="73"/>
      <c r="B255" s="74"/>
      <c r="C255" s="75"/>
      <c r="D255" s="76"/>
      <c r="E255" s="77"/>
      <c r="F255" s="78"/>
      <c r="G255" s="78"/>
      <c r="H255" s="79"/>
      <c r="I255" s="80"/>
      <c r="J255" s="77"/>
      <c r="K255" s="81" t="b">
        <v>0</v>
      </c>
      <c r="L255" s="78"/>
      <c r="M255" s="82"/>
      <c r="N255" s="78"/>
      <c r="O255" s="78"/>
      <c r="P255" s="78"/>
      <c r="Q255" s="78"/>
      <c r="R255" s="78"/>
      <c r="S255" s="78"/>
      <c r="T255" s="83"/>
    </row>
    <row r="256" spans="1:20" ht="15" customHeight="1" x14ac:dyDescent="0.3">
      <c r="A256" s="73"/>
      <c r="B256" s="74"/>
      <c r="C256" s="75"/>
      <c r="D256" s="76"/>
      <c r="E256" s="77"/>
      <c r="F256" s="78"/>
      <c r="G256" s="78"/>
      <c r="H256" s="79"/>
      <c r="I256" s="80"/>
      <c r="J256" s="77"/>
      <c r="K256" s="81" t="b">
        <v>0</v>
      </c>
      <c r="L256" s="78"/>
      <c r="M256" s="82"/>
      <c r="N256" s="78"/>
      <c r="O256" s="78"/>
      <c r="P256" s="78"/>
      <c r="Q256" s="78"/>
      <c r="R256" s="78"/>
      <c r="S256" s="78"/>
      <c r="T256" s="83"/>
    </row>
    <row r="257" spans="1:20" ht="15" customHeight="1" x14ac:dyDescent="0.3">
      <c r="A257" s="73"/>
      <c r="B257" s="74"/>
      <c r="C257" s="75"/>
      <c r="D257" s="76"/>
      <c r="E257" s="77"/>
      <c r="F257" s="78"/>
      <c r="G257" s="78"/>
      <c r="H257" s="79"/>
      <c r="I257" s="80"/>
      <c r="J257" s="77"/>
      <c r="K257" s="81" t="b">
        <v>0</v>
      </c>
      <c r="L257" s="78"/>
      <c r="M257" s="82"/>
      <c r="N257" s="78"/>
      <c r="O257" s="78"/>
      <c r="P257" s="78"/>
      <c r="Q257" s="78"/>
      <c r="R257" s="78"/>
      <c r="S257" s="78"/>
      <c r="T257" s="83"/>
    </row>
    <row r="258" spans="1:20" ht="15" customHeight="1" x14ac:dyDescent="0.3">
      <c r="A258" s="73"/>
      <c r="B258" s="74"/>
      <c r="C258" s="75"/>
      <c r="D258" s="76"/>
      <c r="E258" s="77"/>
      <c r="F258" s="78"/>
      <c r="G258" s="78"/>
      <c r="H258" s="79"/>
      <c r="I258" s="80"/>
      <c r="J258" s="77"/>
      <c r="K258" s="81" t="b">
        <v>0</v>
      </c>
      <c r="L258" s="78"/>
      <c r="M258" s="82"/>
      <c r="N258" s="78"/>
      <c r="O258" s="78"/>
      <c r="P258" s="78"/>
      <c r="Q258" s="78"/>
      <c r="R258" s="78"/>
      <c r="S258" s="78"/>
      <c r="T258" s="83"/>
    </row>
    <row r="259" spans="1:20" ht="15" customHeight="1" x14ac:dyDescent="0.3">
      <c r="A259" s="73"/>
      <c r="B259" s="74"/>
      <c r="C259" s="75"/>
      <c r="D259" s="76"/>
      <c r="E259" s="77"/>
      <c r="F259" s="78"/>
      <c r="G259" s="78"/>
      <c r="H259" s="79"/>
      <c r="I259" s="80"/>
      <c r="J259" s="77"/>
      <c r="K259" s="81" t="b">
        <v>0</v>
      </c>
      <c r="L259" s="78"/>
      <c r="M259" s="82"/>
      <c r="N259" s="78"/>
      <c r="O259" s="78"/>
      <c r="P259" s="78"/>
      <c r="Q259" s="78"/>
      <c r="R259" s="78"/>
      <c r="S259" s="78"/>
      <c r="T259" s="83"/>
    </row>
    <row r="260" spans="1:20" ht="15" customHeight="1" x14ac:dyDescent="0.3">
      <c r="A260" s="73"/>
      <c r="B260" s="74"/>
      <c r="C260" s="75"/>
      <c r="D260" s="76"/>
      <c r="E260" s="77"/>
      <c r="F260" s="78"/>
      <c r="G260" s="78"/>
      <c r="H260" s="79"/>
      <c r="I260" s="80"/>
      <c r="J260" s="77"/>
      <c r="K260" s="81" t="b">
        <v>0</v>
      </c>
      <c r="L260" s="78"/>
      <c r="M260" s="82"/>
      <c r="N260" s="78"/>
      <c r="O260" s="78"/>
      <c r="P260" s="78"/>
      <c r="Q260" s="78"/>
      <c r="R260" s="78"/>
      <c r="S260" s="78"/>
      <c r="T260" s="83"/>
    </row>
    <row r="261" spans="1:20" ht="15" customHeight="1" x14ac:dyDescent="0.3">
      <c r="A261" s="73"/>
      <c r="B261" s="74"/>
      <c r="C261" s="75"/>
      <c r="D261" s="76"/>
      <c r="E261" s="77"/>
      <c r="F261" s="78"/>
      <c r="G261" s="78"/>
      <c r="H261" s="79"/>
      <c r="I261" s="80"/>
      <c r="J261" s="77"/>
      <c r="K261" s="81" t="b">
        <v>0</v>
      </c>
      <c r="L261" s="78"/>
      <c r="M261" s="82"/>
      <c r="N261" s="78"/>
      <c r="O261" s="78"/>
      <c r="P261" s="78"/>
      <c r="Q261" s="78"/>
      <c r="R261" s="78"/>
      <c r="S261" s="78"/>
      <c r="T261" s="83"/>
    </row>
    <row r="262" spans="1:20" ht="15" customHeight="1" x14ac:dyDescent="0.3">
      <c r="A262" s="73"/>
      <c r="B262" s="74"/>
      <c r="C262" s="75"/>
      <c r="D262" s="76"/>
      <c r="E262" s="77"/>
      <c r="F262" s="78"/>
      <c r="G262" s="78"/>
      <c r="H262" s="79"/>
      <c r="I262" s="80"/>
      <c r="J262" s="77"/>
      <c r="K262" s="81" t="b">
        <v>0</v>
      </c>
      <c r="L262" s="78"/>
      <c r="M262" s="82"/>
      <c r="N262" s="78"/>
      <c r="O262" s="78"/>
      <c r="P262" s="78"/>
      <c r="Q262" s="78"/>
      <c r="R262" s="78"/>
      <c r="S262" s="78"/>
      <c r="T262" s="83"/>
    </row>
    <row r="263" spans="1:20" ht="15" customHeight="1" x14ac:dyDescent="0.3">
      <c r="A263" s="73"/>
      <c r="B263" s="74"/>
      <c r="C263" s="75"/>
      <c r="D263" s="76"/>
      <c r="E263" s="77"/>
      <c r="F263" s="78"/>
      <c r="G263" s="78"/>
      <c r="H263" s="79"/>
      <c r="I263" s="80"/>
      <c r="J263" s="77"/>
      <c r="K263" s="81" t="b">
        <v>0</v>
      </c>
      <c r="L263" s="78"/>
      <c r="M263" s="82"/>
      <c r="N263" s="78"/>
      <c r="O263" s="78"/>
      <c r="P263" s="78"/>
      <c r="Q263" s="78"/>
      <c r="R263" s="78"/>
      <c r="S263" s="78"/>
      <c r="T263" s="83"/>
    </row>
    <row r="264" spans="1:20" ht="15" customHeight="1" x14ac:dyDescent="0.3">
      <c r="A264" s="73"/>
      <c r="B264" s="74"/>
      <c r="C264" s="75"/>
      <c r="D264" s="76"/>
      <c r="E264" s="77"/>
      <c r="F264" s="78"/>
      <c r="G264" s="78"/>
      <c r="H264" s="79"/>
      <c r="I264" s="80"/>
      <c r="J264" s="77"/>
      <c r="K264" s="81" t="b">
        <v>0</v>
      </c>
      <c r="L264" s="78"/>
      <c r="M264" s="82"/>
      <c r="N264" s="78"/>
      <c r="O264" s="78"/>
      <c r="P264" s="78"/>
      <c r="Q264" s="78"/>
      <c r="R264" s="78"/>
      <c r="S264" s="78"/>
      <c r="T264" s="83"/>
    </row>
    <row r="265" spans="1:20" ht="15" customHeight="1" x14ac:dyDescent="0.3">
      <c r="A265" s="73"/>
      <c r="B265" s="74"/>
      <c r="C265" s="75"/>
      <c r="D265" s="76"/>
      <c r="E265" s="77"/>
      <c r="F265" s="78"/>
      <c r="G265" s="78"/>
      <c r="H265" s="79"/>
      <c r="I265" s="80"/>
      <c r="J265" s="77"/>
      <c r="K265" s="81" t="b">
        <v>0</v>
      </c>
      <c r="L265" s="78"/>
      <c r="M265" s="82"/>
      <c r="N265" s="78"/>
      <c r="O265" s="78"/>
      <c r="P265" s="78"/>
      <c r="Q265" s="78"/>
      <c r="R265" s="78"/>
      <c r="S265" s="78"/>
      <c r="T265" s="83"/>
    </row>
    <row r="266" spans="1:20" ht="15" customHeight="1" x14ac:dyDescent="0.3">
      <c r="A266" s="73"/>
      <c r="B266" s="74"/>
      <c r="C266" s="75"/>
      <c r="D266" s="76"/>
      <c r="E266" s="77"/>
      <c r="F266" s="78"/>
      <c r="G266" s="78"/>
      <c r="H266" s="79"/>
      <c r="I266" s="80"/>
      <c r="J266" s="77"/>
      <c r="K266" s="81" t="b">
        <v>0</v>
      </c>
      <c r="L266" s="78"/>
      <c r="M266" s="82"/>
      <c r="N266" s="78"/>
      <c r="O266" s="78"/>
      <c r="P266" s="78"/>
      <c r="Q266" s="78"/>
      <c r="R266" s="78"/>
      <c r="S266" s="78"/>
      <c r="T266" s="83"/>
    </row>
    <row r="267" spans="1:20" ht="15" customHeight="1" x14ac:dyDescent="0.3">
      <c r="A267" s="73"/>
      <c r="B267" s="74"/>
      <c r="C267" s="75"/>
      <c r="D267" s="76"/>
      <c r="E267" s="77"/>
      <c r="F267" s="78"/>
      <c r="G267" s="78"/>
      <c r="H267" s="79"/>
      <c r="I267" s="80"/>
      <c r="J267" s="77"/>
      <c r="K267" s="81" t="b">
        <v>0</v>
      </c>
      <c r="L267" s="78"/>
      <c r="M267" s="82"/>
      <c r="N267" s="78"/>
      <c r="O267" s="78"/>
      <c r="P267" s="78"/>
      <c r="Q267" s="78"/>
      <c r="R267" s="78"/>
      <c r="S267" s="78"/>
      <c r="T267" s="83"/>
    </row>
    <row r="268" spans="1:20" ht="15" customHeight="1" x14ac:dyDescent="0.3">
      <c r="A268" s="73"/>
      <c r="B268" s="74"/>
      <c r="C268" s="75"/>
      <c r="D268" s="76"/>
      <c r="E268" s="77"/>
      <c r="F268" s="78"/>
      <c r="G268" s="78"/>
      <c r="H268" s="79"/>
      <c r="I268" s="80"/>
      <c r="J268" s="77"/>
      <c r="K268" s="81" t="b">
        <v>0</v>
      </c>
      <c r="L268" s="78"/>
      <c r="M268" s="82"/>
      <c r="N268" s="78"/>
      <c r="O268" s="78"/>
      <c r="P268" s="78"/>
      <c r="Q268" s="78"/>
      <c r="R268" s="78"/>
      <c r="S268" s="78"/>
      <c r="T268" s="83"/>
    </row>
    <row r="269" spans="1:20" ht="15" customHeight="1" x14ac:dyDescent="0.3">
      <c r="A269" s="73"/>
      <c r="B269" s="74"/>
      <c r="C269" s="75"/>
      <c r="D269" s="76"/>
      <c r="E269" s="77"/>
      <c r="F269" s="78"/>
      <c r="G269" s="78"/>
      <c r="H269" s="79"/>
      <c r="I269" s="80"/>
      <c r="J269" s="77"/>
      <c r="K269" s="81" t="b">
        <v>0</v>
      </c>
      <c r="L269" s="78"/>
      <c r="M269" s="82"/>
      <c r="N269" s="78"/>
      <c r="O269" s="78"/>
      <c r="P269" s="78"/>
      <c r="Q269" s="78"/>
      <c r="R269" s="78"/>
      <c r="S269" s="78"/>
      <c r="T269" s="83"/>
    </row>
    <row r="270" spans="1:20" ht="15" customHeight="1" x14ac:dyDescent="0.3">
      <c r="A270" s="73"/>
      <c r="B270" s="74"/>
      <c r="C270" s="75"/>
      <c r="D270" s="76"/>
      <c r="E270" s="77"/>
      <c r="F270" s="78"/>
      <c r="G270" s="78"/>
      <c r="H270" s="79"/>
      <c r="I270" s="80"/>
      <c r="J270" s="77"/>
      <c r="K270" s="81" t="b">
        <v>0</v>
      </c>
      <c r="L270" s="78"/>
      <c r="M270" s="82"/>
      <c r="N270" s="78"/>
      <c r="O270" s="78"/>
      <c r="P270" s="78"/>
      <c r="Q270" s="78"/>
      <c r="R270" s="78"/>
      <c r="S270" s="78"/>
      <c r="T270" s="83"/>
    </row>
    <row r="271" spans="1:20" ht="15" customHeight="1" x14ac:dyDescent="0.3">
      <c r="A271" s="73"/>
      <c r="B271" s="74"/>
      <c r="C271" s="75"/>
      <c r="D271" s="76"/>
      <c r="E271" s="77"/>
      <c r="F271" s="78"/>
      <c r="G271" s="78"/>
      <c r="H271" s="79"/>
      <c r="I271" s="80"/>
      <c r="J271" s="77"/>
      <c r="K271" s="81" t="b">
        <v>0</v>
      </c>
      <c r="L271" s="78"/>
      <c r="M271" s="82"/>
      <c r="N271" s="78"/>
      <c r="O271" s="78"/>
      <c r="P271" s="78"/>
      <c r="Q271" s="78"/>
      <c r="R271" s="78"/>
      <c r="S271" s="78"/>
      <c r="T271" s="83"/>
    </row>
    <row r="272" spans="1:20" ht="15" customHeight="1" x14ac:dyDescent="0.3">
      <c r="A272" s="73"/>
      <c r="B272" s="74"/>
      <c r="C272" s="75"/>
      <c r="D272" s="76"/>
      <c r="E272" s="77"/>
      <c r="F272" s="78"/>
      <c r="G272" s="78"/>
      <c r="H272" s="79"/>
      <c r="I272" s="80"/>
      <c r="J272" s="77"/>
      <c r="K272" s="81" t="b">
        <v>0</v>
      </c>
      <c r="L272" s="78"/>
      <c r="M272" s="82"/>
      <c r="N272" s="78"/>
      <c r="O272" s="78"/>
      <c r="P272" s="78"/>
      <c r="Q272" s="78"/>
      <c r="R272" s="78"/>
      <c r="S272" s="78"/>
      <c r="T272" s="83"/>
    </row>
    <row r="273" spans="1:20" ht="15" customHeight="1" x14ac:dyDescent="0.3">
      <c r="A273" s="73"/>
      <c r="B273" s="74"/>
      <c r="C273" s="75"/>
      <c r="D273" s="76"/>
      <c r="E273" s="77"/>
      <c r="F273" s="78"/>
      <c r="G273" s="78"/>
      <c r="H273" s="79"/>
      <c r="I273" s="80"/>
      <c r="J273" s="77"/>
      <c r="K273" s="81" t="b">
        <v>0</v>
      </c>
      <c r="L273" s="78"/>
      <c r="M273" s="82"/>
      <c r="N273" s="78"/>
      <c r="O273" s="78"/>
      <c r="P273" s="78"/>
      <c r="Q273" s="78"/>
      <c r="R273" s="78"/>
      <c r="S273" s="78"/>
      <c r="T273" s="83"/>
    </row>
    <row r="274" spans="1:20" ht="15" customHeight="1" x14ac:dyDescent="0.3">
      <c r="A274" s="73"/>
      <c r="B274" s="74"/>
      <c r="C274" s="75"/>
      <c r="D274" s="76"/>
      <c r="E274" s="77"/>
      <c r="F274" s="78"/>
      <c r="G274" s="78"/>
      <c r="H274" s="79"/>
      <c r="I274" s="80"/>
      <c r="J274" s="77"/>
      <c r="K274" s="81" t="b">
        <v>0</v>
      </c>
      <c r="L274" s="78"/>
      <c r="M274" s="82"/>
      <c r="N274" s="78"/>
      <c r="O274" s="78"/>
      <c r="P274" s="78"/>
      <c r="Q274" s="78"/>
      <c r="R274" s="78"/>
      <c r="S274" s="78"/>
      <c r="T274" s="83"/>
    </row>
    <row r="275" spans="1:20" ht="15" customHeight="1" x14ac:dyDescent="0.3">
      <c r="A275" s="73"/>
      <c r="B275" s="74"/>
      <c r="C275" s="75"/>
      <c r="D275" s="76"/>
      <c r="E275" s="77"/>
      <c r="F275" s="78"/>
      <c r="G275" s="78"/>
      <c r="H275" s="79"/>
      <c r="I275" s="80"/>
      <c r="J275" s="77"/>
      <c r="K275" s="81" t="b">
        <v>0</v>
      </c>
      <c r="L275" s="78"/>
      <c r="M275" s="82"/>
      <c r="N275" s="78"/>
      <c r="O275" s="78"/>
      <c r="P275" s="78"/>
      <c r="Q275" s="78"/>
      <c r="R275" s="78"/>
      <c r="S275" s="78"/>
      <c r="T275" s="83"/>
    </row>
    <row r="276" spans="1:20" ht="15" customHeight="1" x14ac:dyDescent="0.3">
      <c r="A276" s="73"/>
      <c r="B276" s="74"/>
      <c r="C276" s="75"/>
      <c r="D276" s="76"/>
      <c r="E276" s="77"/>
      <c r="F276" s="78"/>
      <c r="G276" s="78"/>
      <c r="H276" s="79"/>
      <c r="I276" s="80"/>
      <c r="J276" s="77"/>
      <c r="K276" s="81" t="b">
        <v>0</v>
      </c>
      <c r="L276" s="78"/>
      <c r="M276" s="82"/>
      <c r="N276" s="78"/>
      <c r="O276" s="78"/>
      <c r="P276" s="78"/>
      <c r="Q276" s="78"/>
      <c r="R276" s="78"/>
      <c r="S276" s="78"/>
      <c r="T276" s="83"/>
    </row>
    <row r="277" spans="1:20" ht="15" customHeight="1" x14ac:dyDescent="0.3">
      <c r="A277" s="73"/>
      <c r="B277" s="74"/>
      <c r="C277" s="75"/>
      <c r="D277" s="76"/>
      <c r="E277" s="77"/>
      <c r="F277" s="78"/>
      <c r="G277" s="78"/>
      <c r="H277" s="79"/>
      <c r="I277" s="80"/>
      <c r="J277" s="77"/>
      <c r="K277" s="81" t="b">
        <v>0</v>
      </c>
      <c r="L277" s="78"/>
      <c r="M277" s="82"/>
      <c r="N277" s="78"/>
      <c r="O277" s="78"/>
      <c r="P277" s="78"/>
      <c r="Q277" s="78"/>
      <c r="R277" s="78"/>
      <c r="S277" s="78"/>
      <c r="T277" s="83"/>
    </row>
    <row r="278" spans="1:20" ht="15" customHeight="1" x14ac:dyDescent="0.3">
      <c r="A278" s="73"/>
      <c r="B278" s="74"/>
      <c r="C278" s="75"/>
      <c r="D278" s="76"/>
      <c r="E278" s="77"/>
      <c r="F278" s="78"/>
      <c r="G278" s="78"/>
      <c r="H278" s="79"/>
      <c r="I278" s="80"/>
      <c r="J278" s="77"/>
      <c r="K278" s="81" t="b">
        <v>0</v>
      </c>
      <c r="L278" s="78"/>
      <c r="M278" s="82"/>
      <c r="N278" s="78"/>
      <c r="O278" s="78"/>
      <c r="P278" s="78"/>
      <c r="Q278" s="78"/>
      <c r="R278" s="78"/>
      <c r="S278" s="78"/>
      <c r="T278" s="83"/>
    </row>
    <row r="279" spans="1:20" ht="15" customHeight="1" x14ac:dyDescent="0.3">
      <c r="A279" s="73"/>
      <c r="B279" s="74"/>
      <c r="C279" s="75"/>
      <c r="D279" s="76"/>
      <c r="E279" s="77"/>
      <c r="F279" s="78"/>
      <c r="G279" s="78"/>
      <c r="H279" s="79"/>
      <c r="I279" s="80"/>
      <c r="J279" s="77"/>
      <c r="K279" s="81" t="b">
        <v>0</v>
      </c>
      <c r="L279" s="78"/>
      <c r="M279" s="82"/>
      <c r="N279" s="78"/>
      <c r="O279" s="78"/>
      <c r="P279" s="78"/>
      <c r="Q279" s="78"/>
      <c r="R279" s="78"/>
      <c r="S279" s="78"/>
      <c r="T279" s="83"/>
    </row>
    <row r="280" spans="1:20" ht="15" customHeight="1" x14ac:dyDescent="0.3">
      <c r="A280" s="73"/>
      <c r="B280" s="74"/>
      <c r="C280" s="75"/>
      <c r="D280" s="76"/>
      <c r="E280" s="77"/>
      <c r="F280" s="78"/>
      <c r="G280" s="78"/>
      <c r="H280" s="79"/>
      <c r="I280" s="80"/>
      <c r="J280" s="77"/>
      <c r="K280" s="81" t="b">
        <v>0</v>
      </c>
      <c r="L280" s="78"/>
      <c r="M280" s="82"/>
      <c r="N280" s="78"/>
      <c r="O280" s="78"/>
      <c r="P280" s="78"/>
      <c r="Q280" s="78"/>
      <c r="R280" s="78"/>
      <c r="S280" s="78"/>
      <c r="T280" s="83"/>
    </row>
    <row r="281" spans="1:20" ht="15" customHeight="1" x14ac:dyDescent="0.3">
      <c r="A281" s="73"/>
      <c r="B281" s="74"/>
      <c r="C281" s="75"/>
      <c r="D281" s="76"/>
      <c r="E281" s="77"/>
      <c r="F281" s="78"/>
      <c r="G281" s="78"/>
      <c r="H281" s="79"/>
      <c r="I281" s="80"/>
      <c r="J281" s="77"/>
      <c r="K281" s="81" t="b">
        <v>0</v>
      </c>
      <c r="L281" s="78"/>
      <c r="M281" s="82"/>
      <c r="N281" s="78"/>
      <c r="O281" s="78"/>
      <c r="P281" s="78"/>
      <c r="Q281" s="78"/>
      <c r="R281" s="78"/>
      <c r="S281" s="78"/>
      <c r="T281" s="83"/>
    </row>
    <row r="282" spans="1:20" ht="15" customHeight="1" x14ac:dyDescent="0.3">
      <c r="A282" s="73"/>
      <c r="B282" s="74"/>
      <c r="C282" s="75"/>
      <c r="D282" s="76"/>
      <c r="E282" s="77"/>
      <c r="F282" s="78"/>
      <c r="G282" s="78"/>
      <c r="H282" s="79"/>
      <c r="I282" s="80"/>
      <c r="J282" s="77"/>
      <c r="K282" s="81" t="b">
        <v>0</v>
      </c>
      <c r="L282" s="78"/>
      <c r="M282" s="82"/>
      <c r="N282" s="78"/>
      <c r="O282" s="78"/>
      <c r="P282" s="78"/>
      <c r="Q282" s="78"/>
      <c r="R282" s="78"/>
      <c r="S282" s="78"/>
      <c r="T282" s="83"/>
    </row>
    <row r="283" spans="1:20" ht="15" customHeight="1" x14ac:dyDescent="0.3">
      <c r="A283" s="73"/>
      <c r="B283" s="74"/>
      <c r="C283" s="75"/>
      <c r="D283" s="76"/>
      <c r="E283" s="77"/>
      <c r="F283" s="78"/>
      <c r="G283" s="78"/>
      <c r="H283" s="79"/>
      <c r="I283" s="80"/>
      <c r="J283" s="77"/>
      <c r="K283" s="81" t="b">
        <v>0</v>
      </c>
      <c r="L283" s="78"/>
      <c r="M283" s="82"/>
      <c r="N283" s="78"/>
      <c r="O283" s="78"/>
      <c r="P283" s="78"/>
      <c r="Q283" s="78"/>
      <c r="R283" s="78"/>
      <c r="S283" s="78"/>
      <c r="T283" s="83"/>
    </row>
    <row r="284" spans="1:20" ht="15" customHeight="1" x14ac:dyDescent="0.3">
      <c r="A284" s="73"/>
      <c r="B284" s="74"/>
      <c r="C284" s="75"/>
      <c r="D284" s="76"/>
      <c r="E284" s="77"/>
      <c r="F284" s="78"/>
      <c r="G284" s="78"/>
      <c r="H284" s="79"/>
      <c r="I284" s="80"/>
      <c r="J284" s="77"/>
      <c r="K284" s="81" t="b">
        <v>0</v>
      </c>
      <c r="L284" s="78"/>
      <c r="M284" s="82"/>
      <c r="N284" s="78"/>
      <c r="O284" s="78"/>
      <c r="P284" s="78"/>
      <c r="Q284" s="78"/>
      <c r="R284" s="78"/>
      <c r="S284" s="78"/>
      <c r="T284" s="83"/>
    </row>
    <row r="285" spans="1:20" ht="15" customHeight="1" x14ac:dyDescent="0.3">
      <c r="A285" s="73"/>
      <c r="B285" s="74"/>
      <c r="C285" s="75"/>
      <c r="D285" s="76"/>
      <c r="E285" s="77"/>
      <c r="F285" s="78"/>
      <c r="G285" s="78"/>
      <c r="H285" s="79"/>
      <c r="I285" s="80"/>
      <c r="J285" s="77"/>
      <c r="K285" s="81" t="b">
        <v>0</v>
      </c>
      <c r="L285" s="78"/>
      <c r="M285" s="82"/>
      <c r="N285" s="78"/>
      <c r="O285" s="78"/>
      <c r="P285" s="78"/>
      <c r="Q285" s="78"/>
      <c r="R285" s="78"/>
      <c r="S285" s="78"/>
      <c r="T285" s="83"/>
    </row>
    <row r="286" spans="1:20" ht="15" customHeight="1" x14ac:dyDescent="0.3">
      <c r="A286" s="73"/>
      <c r="B286" s="74"/>
      <c r="C286" s="75"/>
      <c r="D286" s="76"/>
      <c r="E286" s="77"/>
      <c r="F286" s="78"/>
      <c r="G286" s="78"/>
      <c r="H286" s="79"/>
      <c r="I286" s="80"/>
      <c r="J286" s="77"/>
      <c r="K286" s="81" t="b">
        <v>0</v>
      </c>
      <c r="L286" s="78"/>
      <c r="M286" s="82"/>
      <c r="N286" s="78"/>
      <c r="O286" s="78"/>
      <c r="P286" s="78"/>
      <c r="Q286" s="78"/>
      <c r="R286" s="78"/>
      <c r="S286" s="78"/>
      <c r="T286" s="83"/>
    </row>
    <row r="287" spans="1:20" ht="15" customHeight="1" x14ac:dyDescent="0.3">
      <c r="A287" s="73"/>
      <c r="B287" s="74"/>
      <c r="C287" s="75"/>
      <c r="D287" s="76"/>
      <c r="E287" s="77"/>
      <c r="F287" s="78"/>
      <c r="G287" s="78"/>
      <c r="H287" s="79"/>
      <c r="I287" s="80"/>
      <c r="J287" s="77"/>
      <c r="K287" s="81" t="b">
        <v>0</v>
      </c>
      <c r="L287" s="78"/>
      <c r="M287" s="82"/>
      <c r="N287" s="78"/>
      <c r="O287" s="78"/>
      <c r="P287" s="78"/>
      <c r="Q287" s="78"/>
      <c r="R287" s="78"/>
      <c r="S287" s="78"/>
      <c r="T287" s="83"/>
    </row>
    <row r="288" spans="1:20" ht="15" customHeight="1" x14ac:dyDescent="0.3">
      <c r="A288" s="73"/>
      <c r="B288" s="74"/>
      <c r="C288" s="75"/>
      <c r="D288" s="76"/>
      <c r="E288" s="77"/>
      <c r="F288" s="78"/>
      <c r="G288" s="78"/>
      <c r="H288" s="79"/>
      <c r="I288" s="80"/>
      <c r="J288" s="77"/>
      <c r="K288" s="81" t="b">
        <v>0</v>
      </c>
      <c r="L288" s="78"/>
      <c r="M288" s="82"/>
      <c r="N288" s="78"/>
      <c r="O288" s="78"/>
      <c r="P288" s="78"/>
      <c r="Q288" s="78"/>
      <c r="R288" s="78"/>
      <c r="S288" s="78"/>
      <c r="T288" s="83"/>
    </row>
    <row r="289" spans="1:20" ht="15" customHeight="1" x14ac:dyDescent="0.3">
      <c r="A289" s="73"/>
      <c r="B289" s="74"/>
      <c r="C289" s="75"/>
      <c r="D289" s="76"/>
      <c r="E289" s="77"/>
      <c r="F289" s="78"/>
      <c r="G289" s="78"/>
      <c r="H289" s="79"/>
      <c r="I289" s="80"/>
      <c r="J289" s="77"/>
      <c r="K289" s="81" t="b">
        <v>0</v>
      </c>
      <c r="L289" s="78"/>
      <c r="M289" s="82"/>
      <c r="N289" s="78"/>
      <c r="O289" s="78"/>
      <c r="P289" s="78"/>
      <c r="Q289" s="78"/>
      <c r="R289" s="78"/>
      <c r="S289" s="78"/>
      <c r="T289" s="83"/>
    </row>
    <row r="290" spans="1:20" ht="15" customHeight="1" x14ac:dyDescent="0.3">
      <c r="A290" s="73"/>
      <c r="B290" s="74"/>
      <c r="C290" s="75"/>
      <c r="D290" s="76"/>
      <c r="E290" s="77"/>
      <c r="F290" s="78"/>
      <c r="G290" s="78"/>
      <c r="H290" s="79"/>
      <c r="I290" s="80"/>
      <c r="J290" s="77"/>
      <c r="K290" s="81" t="b">
        <v>0</v>
      </c>
      <c r="L290" s="78"/>
      <c r="M290" s="82"/>
      <c r="N290" s="78"/>
      <c r="O290" s="78"/>
      <c r="P290" s="78"/>
      <c r="Q290" s="78"/>
      <c r="R290" s="78"/>
      <c r="S290" s="78"/>
      <c r="T290" s="83"/>
    </row>
    <row r="291" spans="1:20" ht="15" customHeight="1" x14ac:dyDescent="0.3">
      <c r="A291" s="73"/>
      <c r="B291" s="74"/>
      <c r="C291" s="75"/>
      <c r="D291" s="76"/>
      <c r="E291" s="77"/>
      <c r="F291" s="78"/>
      <c r="G291" s="78"/>
      <c r="H291" s="79"/>
      <c r="I291" s="80"/>
      <c r="J291" s="77"/>
      <c r="K291" s="81" t="b">
        <v>0</v>
      </c>
      <c r="L291" s="78"/>
      <c r="M291" s="82"/>
      <c r="N291" s="78"/>
      <c r="O291" s="78"/>
      <c r="P291" s="78"/>
      <c r="Q291" s="78"/>
      <c r="R291" s="78"/>
      <c r="S291" s="78"/>
      <c r="T291" s="83"/>
    </row>
    <row r="292" spans="1:20" ht="15" customHeight="1" x14ac:dyDescent="0.3">
      <c r="A292" s="73"/>
      <c r="B292" s="74"/>
      <c r="C292" s="75"/>
      <c r="D292" s="76"/>
      <c r="E292" s="77"/>
      <c r="F292" s="78"/>
      <c r="G292" s="78"/>
      <c r="H292" s="79"/>
      <c r="I292" s="80"/>
      <c r="J292" s="77"/>
      <c r="K292" s="81" t="b">
        <v>0</v>
      </c>
      <c r="L292" s="78"/>
      <c r="M292" s="82"/>
      <c r="N292" s="78"/>
      <c r="O292" s="78"/>
      <c r="P292" s="78"/>
      <c r="Q292" s="78"/>
      <c r="R292" s="78"/>
      <c r="S292" s="78"/>
      <c r="T292" s="83"/>
    </row>
    <row r="293" spans="1:20" ht="15" customHeight="1" x14ac:dyDescent="0.3">
      <c r="A293" s="73"/>
      <c r="B293" s="74"/>
      <c r="C293" s="75"/>
      <c r="D293" s="76"/>
      <c r="E293" s="77"/>
      <c r="F293" s="78"/>
      <c r="G293" s="78"/>
      <c r="H293" s="79"/>
      <c r="I293" s="80"/>
      <c r="J293" s="77"/>
      <c r="K293" s="81" t="b">
        <v>0</v>
      </c>
      <c r="L293" s="78"/>
      <c r="M293" s="82"/>
      <c r="N293" s="78"/>
      <c r="O293" s="78"/>
      <c r="P293" s="78"/>
      <c r="Q293" s="78"/>
      <c r="R293" s="78"/>
      <c r="S293" s="78"/>
      <c r="T293" s="83"/>
    </row>
    <row r="294" spans="1:20" ht="15" customHeight="1" x14ac:dyDescent="0.3">
      <c r="A294" s="73"/>
      <c r="B294" s="74"/>
      <c r="C294" s="75"/>
      <c r="D294" s="76"/>
      <c r="E294" s="77"/>
      <c r="F294" s="78"/>
      <c r="G294" s="78"/>
      <c r="H294" s="79"/>
      <c r="I294" s="80"/>
      <c r="J294" s="77"/>
      <c r="K294" s="81" t="b">
        <v>0</v>
      </c>
      <c r="L294" s="78"/>
      <c r="M294" s="82"/>
      <c r="N294" s="78"/>
      <c r="O294" s="78"/>
      <c r="P294" s="78"/>
      <c r="Q294" s="78"/>
      <c r="R294" s="78"/>
      <c r="S294" s="78"/>
      <c r="T294" s="83"/>
    </row>
    <row r="295" spans="1:20" ht="15" customHeight="1" x14ac:dyDescent="0.3">
      <c r="A295" s="73"/>
      <c r="B295" s="74"/>
      <c r="C295" s="75"/>
      <c r="D295" s="76"/>
      <c r="E295" s="77"/>
      <c r="F295" s="78"/>
      <c r="G295" s="78"/>
      <c r="H295" s="79"/>
      <c r="I295" s="80"/>
      <c r="J295" s="77"/>
      <c r="K295" s="81" t="b">
        <v>0</v>
      </c>
      <c r="L295" s="78"/>
      <c r="M295" s="82"/>
      <c r="N295" s="78"/>
      <c r="O295" s="78"/>
      <c r="P295" s="78"/>
      <c r="Q295" s="78"/>
      <c r="R295" s="78"/>
      <c r="S295" s="78"/>
      <c r="T295" s="83"/>
    </row>
    <row r="296" spans="1:20" ht="15" customHeight="1" x14ac:dyDescent="0.3">
      <c r="A296" s="73"/>
      <c r="B296" s="74"/>
      <c r="C296" s="75"/>
      <c r="D296" s="76"/>
      <c r="E296" s="77"/>
      <c r="F296" s="78"/>
      <c r="G296" s="78"/>
      <c r="H296" s="79"/>
      <c r="I296" s="80"/>
      <c r="J296" s="77"/>
      <c r="K296" s="81" t="b">
        <v>0</v>
      </c>
      <c r="L296" s="78"/>
      <c r="M296" s="82"/>
      <c r="N296" s="78"/>
      <c r="O296" s="78"/>
      <c r="P296" s="78"/>
      <c r="Q296" s="78"/>
      <c r="R296" s="78"/>
      <c r="S296" s="78"/>
      <c r="T296" s="83"/>
    </row>
    <row r="297" spans="1:20" ht="15" customHeight="1" x14ac:dyDescent="0.3">
      <c r="A297" s="73"/>
      <c r="B297" s="74"/>
      <c r="C297" s="75"/>
      <c r="D297" s="76"/>
      <c r="E297" s="77"/>
      <c r="F297" s="78"/>
      <c r="G297" s="78"/>
      <c r="H297" s="79"/>
      <c r="I297" s="80"/>
      <c r="J297" s="77"/>
      <c r="K297" s="81" t="b">
        <v>0</v>
      </c>
      <c r="L297" s="78"/>
      <c r="M297" s="82"/>
      <c r="N297" s="78"/>
      <c r="O297" s="78"/>
      <c r="P297" s="78"/>
      <c r="Q297" s="78"/>
      <c r="R297" s="78"/>
      <c r="S297" s="78"/>
      <c r="T297" s="83"/>
    </row>
    <row r="298" spans="1:20" ht="15" customHeight="1" x14ac:dyDescent="0.3">
      <c r="A298" s="73"/>
      <c r="B298" s="74"/>
      <c r="C298" s="75"/>
      <c r="D298" s="76"/>
      <c r="E298" s="77"/>
      <c r="F298" s="78"/>
      <c r="G298" s="78"/>
      <c r="H298" s="79"/>
      <c r="I298" s="80"/>
      <c r="J298" s="77"/>
      <c r="K298" s="81" t="b">
        <v>0</v>
      </c>
      <c r="L298" s="78"/>
      <c r="M298" s="82"/>
      <c r="N298" s="78"/>
      <c r="O298" s="78"/>
      <c r="P298" s="78"/>
      <c r="Q298" s="78"/>
      <c r="R298" s="78"/>
      <c r="S298" s="78"/>
      <c r="T298" s="83"/>
    </row>
    <row r="299" spans="1:20" ht="15" customHeight="1" x14ac:dyDescent="0.3">
      <c r="A299" s="73"/>
      <c r="B299" s="74"/>
      <c r="C299" s="75"/>
      <c r="D299" s="76"/>
      <c r="E299" s="77"/>
      <c r="F299" s="78"/>
      <c r="G299" s="78"/>
      <c r="H299" s="79"/>
      <c r="I299" s="80"/>
      <c r="J299" s="77"/>
      <c r="K299" s="81" t="b">
        <v>0</v>
      </c>
      <c r="L299" s="78"/>
      <c r="M299" s="82"/>
      <c r="N299" s="78"/>
      <c r="O299" s="78"/>
      <c r="P299" s="78"/>
      <c r="Q299" s="78"/>
      <c r="R299" s="78"/>
      <c r="S299" s="78"/>
      <c r="T299" s="83"/>
    </row>
    <row r="300" spans="1:20" ht="15" customHeight="1" x14ac:dyDescent="0.3">
      <c r="A300" s="73"/>
      <c r="B300" s="74"/>
      <c r="C300" s="75"/>
      <c r="D300" s="76"/>
      <c r="E300" s="77"/>
      <c r="F300" s="78"/>
      <c r="G300" s="78"/>
      <c r="H300" s="79"/>
      <c r="I300" s="80"/>
      <c r="J300" s="77"/>
      <c r="K300" s="81" t="b">
        <v>0</v>
      </c>
      <c r="L300" s="78"/>
      <c r="M300" s="82"/>
      <c r="N300" s="78"/>
      <c r="O300" s="78"/>
      <c r="P300" s="78"/>
      <c r="Q300" s="78"/>
      <c r="R300" s="78"/>
      <c r="S300" s="78"/>
      <c r="T300" s="83"/>
    </row>
    <row r="301" spans="1:20" ht="15" customHeight="1" x14ac:dyDescent="0.3">
      <c r="A301" s="73"/>
      <c r="B301" s="74"/>
      <c r="C301" s="75"/>
      <c r="D301" s="76"/>
      <c r="E301" s="77"/>
      <c r="F301" s="78"/>
      <c r="G301" s="78"/>
      <c r="H301" s="79"/>
      <c r="I301" s="80"/>
      <c r="J301" s="77"/>
      <c r="K301" s="81" t="b">
        <v>0</v>
      </c>
      <c r="L301" s="78"/>
      <c r="M301" s="82"/>
      <c r="N301" s="78"/>
      <c r="O301" s="78"/>
      <c r="P301" s="78"/>
      <c r="Q301" s="78"/>
      <c r="R301" s="78"/>
      <c r="S301" s="78"/>
      <c r="T301" s="83"/>
    </row>
    <row r="302" spans="1:20" ht="15" customHeight="1" x14ac:dyDescent="0.3">
      <c r="A302" s="73"/>
      <c r="B302" s="74"/>
      <c r="C302" s="75"/>
      <c r="D302" s="76"/>
      <c r="E302" s="77"/>
      <c r="F302" s="78"/>
      <c r="G302" s="78"/>
      <c r="H302" s="79"/>
      <c r="I302" s="80"/>
      <c r="J302" s="77"/>
      <c r="K302" s="81" t="b">
        <v>0</v>
      </c>
      <c r="L302" s="78"/>
      <c r="M302" s="82"/>
      <c r="N302" s="78"/>
      <c r="O302" s="78"/>
      <c r="P302" s="78"/>
      <c r="Q302" s="78"/>
      <c r="R302" s="78"/>
      <c r="S302" s="78"/>
      <c r="T302" s="83"/>
    </row>
    <row r="303" spans="1:20" ht="15" customHeight="1" x14ac:dyDescent="0.3">
      <c r="A303" s="73"/>
      <c r="B303" s="74"/>
      <c r="C303" s="75"/>
      <c r="D303" s="76"/>
      <c r="E303" s="77"/>
      <c r="F303" s="78"/>
      <c r="G303" s="78"/>
      <c r="H303" s="79"/>
      <c r="I303" s="80"/>
      <c r="J303" s="77"/>
      <c r="K303" s="81" t="b">
        <v>0</v>
      </c>
      <c r="L303" s="78"/>
      <c r="M303" s="82"/>
      <c r="N303" s="78"/>
      <c r="O303" s="78"/>
      <c r="P303" s="78"/>
      <c r="Q303" s="78"/>
      <c r="R303" s="78"/>
      <c r="S303" s="78"/>
      <c r="T303" s="83"/>
    </row>
    <row r="304" spans="1:20" ht="15" customHeight="1" x14ac:dyDescent="0.3">
      <c r="A304" s="73"/>
      <c r="B304" s="74"/>
      <c r="C304" s="75"/>
      <c r="D304" s="76"/>
      <c r="E304" s="77"/>
      <c r="F304" s="78"/>
      <c r="G304" s="78"/>
      <c r="H304" s="79"/>
      <c r="I304" s="80"/>
      <c r="J304" s="77"/>
      <c r="K304" s="81" t="b">
        <v>0</v>
      </c>
      <c r="L304" s="78"/>
      <c r="M304" s="82"/>
      <c r="N304" s="78"/>
      <c r="O304" s="78"/>
      <c r="P304" s="78"/>
      <c r="Q304" s="78"/>
      <c r="R304" s="78"/>
      <c r="S304" s="78"/>
      <c r="T304" s="83"/>
    </row>
    <row r="305" spans="1:20" ht="15" customHeight="1" x14ac:dyDescent="0.3">
      <c r="A305" s="73"/>
      <c r="B305" s="74"/>
      <c r="C305" s="75"/>
      <c r="D305" s="76"/>
      <c r="E305" s="77"/>
      <c r="F305" s="78"/>
      <c r="G305" s="78"/>
      <c r="H305" s="79"/>
      <c r="I305" s="80"/>
      <c r="J305" s="77"/>
      <c r="K305" s="81" t="b">
        <v>0</v>
      </c>
      <c r="L305" s="78"/>
      <c r="M305" s="82"/>
      <c r="N305" s="78"/>
      <c r="O305" s="78"/>
      <c r="P305" s="78"/>
      <c r="Q305" s="78"/>
      <c r="R305" s="78"/>
      <c r="S305" s="78"/>
      <c r="T305" s="83"/>
    </row>
    <row r="306" spans="1:20" ht="15" customHeight="1" x14ac:dyDescent="0.3">
      <c r="A306" s="73"/>
      <c r="B306" s="74"/>
      <c r="C306" s="75"/>
      <c r="D306" s="76"/>
      <c r="E306" s="77"/>
      <c r="F306" s="78"/>
      <c r="G306" s="78"/>
      <c r="H306" s="79"/>
      <c r="I306" s="80"/>
      <c r="J306" s="77"/>
      <c r="K306" s="81" t="b">
        <v>0</v>
      </c>
      <c r="L306" s="78"/>
      <c r="M306" s="82"/>
      <c r="N306" s="78"/>
      <c r="O306" s="78"/>
      <c r="P306" s="78"/>
      <c r="Q306" s="78"/>
      <c r="R306" s="78"/>
      <c r="S306" s="78"/>
      <c r="T306" s="83"/>
    </row>
    <row r="307" spans="1:20" ht="15" customHeight="1" x14ac:dyDescent="0.3">
      <c r="A307" s="73"/>
      <c r="B307" s="74"/>
      <c r="C307" s="75"/>
      <c r="D307" s="76"/>
      <c r="E307" s="77"/>
      <c r="F307" s="78"/>
      <c r="G307" s="78"/>
      <c r="H307" s="79"/>
      <c r="I307" s="80"/>
      <c r="J307" s="77"/>
      <c r="K307" s="81" t="b">
        <v>0</v>
      </c>
      <c r="L307" s="78"/>
      <c r="M307" s="82"/>
      <c r="N307" s="78"/>
      <c r="O307" s="78"/>
      <c r="P307" s="78"/>
      <c r="Q307" s="78"/>
      <c r="R307" s="78"/>
      <c r="S307" s="78"/>
      <c r="T307" s="83"/>
    </row>
    <row r="308" spans="1:20" ht="15" customHeight="1" x14ac:dyDescent="0.3">
      <c r="A308" s="73"/>
      <c r="B308" s="74"/>
      <c r="C308" s="75"/>
      <c r="D308" s="76"/>
      <c r="E308" s="77"/>
      <c r="F308" s="78"/>
      <c r="G308" s="78"/>
      <c r="H308" s="79"/>
      <c r="I308" s="80"/>
      <c r="J308" s="77"/>
      <c r="K308" s="81" t="b">
        <v>0</v>
      </c>
      <c r="L308" s="78"/>
      <c r="M308" s="82"/>
      <c r="N308" s="78"/>
      <c r="O308" s="78"/>
      <c r="P308" s="78"/>
      <c r="Q308" s="78"/>
      <c r="R308" s="78"/>
      <c r="S308" s="78"/>
      <c r="T308" s="83"/>
    </row>
    <row r="309" spans="1:20" ht="15" customHeight="1" x14ac:dyDescent="0.3">
      <c r="A309" s="73"/>
      <c r="B309" s="74"/>
      <c r="C309" s="75"/>
      <c r="D309" s="76"/>
      <c r="E309" s="77"/>
      <c r="F309" s="78"/>
      <c r="G309" s="78"/>
      <c r="H309" s="79"/>
      <c r="I309" s="80"/>
      <c r="J309" s="77"/>
      <c r="K309" s="81" t="b">
        <v>0</v>
      </c>
      <c r="L309" s="78"/>
      <c r="M309" s="82"/>
      <c r="N309" s="78"/>
      <c r="O309" s="78"/>
      <c r="P309" s="78"/>
      <c r="Q309" s="78"/>
      <c r="R309" s="78"/>
      <c r="S309" s="78"/>
      <c r="T309" s="83"/>
    </row>
    <row r="310" spans="1:20" ht="15" customHeight="1" x14ac:dyDescent="0.3">
      <c r="A310" s="73"/>
      <c r="B310" s="74"/>
      <c r="C310" s="75"/>
      <c r="D310" s="76"/>
      <c r="E310" s="77"/>
      <c r="F310" s="78"/>
      <c r="G310" s="78"/>
      <c r="H310" s="79"/>
      <c r="I310" s="80"/>
      <c r="J310" s="77"/>
      <c r="K310" s="81" t="b">
        <v>0</v>
      </c>
      <c r="L310" s="78"/>
      <c r="M310" s="82"/>
      <c r="N310" s="78"/>
      <c r="O310" s="78"/>
      <c r="P310" s="78"/>
      <c r="Q310" s="78"/>
      <c r="R310" s="78"/>
      <c r="S310" s="78"/>
      <c r="T310" s="83"/>
    </row>
    <row r="311" spans="1:20" ht="15" customHeight="1" x14ac:dyDescent="0.3">
      <c r="A311" s="73"/>
      <c r="B311" s="74"/>
      <c r="C311" s="75"/>
      <c r="D311" s="76"/>
      <c r="E311" s="77"/>
      <c r="F311" s="78"/>
      <c r="G311" s="78"/>
      <c r="H311" s="79"/>
      <c r="I311" s="80"/>
      <c r="J311" s="77"/>
      <c r="K311" s="81" t="b">
        <v>0</v>
      </c>
      <c r="L311" s="78"/>
      <c r="M311" s="82"/>
      <c r="N311" s="78"/>
      <c r="O311" s="78"/>
      <c r="P311" s="78"/>
      <c r="Q311" s="78"/>
      <c r="R311" s="78"/>
      <c r="S311" s="78"/>
      <c r="T311" s="83"/>
    </row>
    <row r="312" spans="1:20" ht="15" customHeight="1" x14ac:dyDescent="0.3">
      <c r="A312" s="73"/>
      <c r="B312" s="74"/>
      <c r="C312" s="75"/>
      <c r="D312" s="76"/>
      <c r="E312" s="77"/>
      <c r="F312" s="78"/>
      <c r="G312" s="78"/>
      <c r="H312" s="79"/>
      <c r="I312" s="80"/>
      <c r="J312" s="77"/>
      <c r="K312" s="81" t="b">
        <v>0</v>
      </c>
      <c r="L312" s="78"/>
      <c r="M312" s="82"/>
      <c r="N312" s="78"/>
      <c r="O312" s="78"/>
      <c r="P312" s="78"/>
      <c r="Q312" s="78"/>
      <c r="R312" s="78"/>
      <c r="S312" s="78"/>
      <c r="T312" s="83"/>
    </row>
    <row r="313" spans="1:20" ht="15" customHeight="1" x14ac:dyDescent="0.3">
      <c r="A313" s="73"/>
      <c r="B313" s="74"/>
      <c r="C313" s="75"/>
      <c r="D313" s="76"/>
      <c r="E313" s="77"/>
      <c r="F313" s="78"/>
      <c r="G313" s="78"/>
      <c r="H313" s="79"/>
      <c r="I313" s="80"/>
      <c r="J313" s="77"/>
      <c r="K313" s="81" t="b">
        <v>0</v>
      </c>
      <c r="L313" s="78"/>
      <c r="M313" s="82"/>
      <c r="N313" s="78"/>
      <c r="O313" s="78"/>
      <c r="P313" s="78"/>
      <c r="Q313" s="78"/>
      <c r="R313" s="78"/>
      <c r="S313" s="78"/>
      <c r="T313" s="83"/>
    </row>
    <row r="314" spans="1:20" ht="15" customHeight="1" x14ac:dyDescent="0.3">
      <c r="A314" s="73"/>
      <c r="B314" s="74"/>
      <c r="C314" s="75"/>
      <c r="D314" s="76"/>
      <c r="E314" s="77"/>
      <c r="F314" s="78"/>
      <c r="G314" s="78"/>
      <c r="H314" s="79"/>
      <c r="I314" s="80"/>
      <c r="J314" s="77"/>
      <c r="K314" s="81" t="b">
        <v>0</v>
      </c>
      <c r="L314" s="78"/>
      <c r="M314" s="82"/>
      <c r="N314" s="78"/>
      <c r="O314" s="78"/>
      <c r="P314" s="78"/>
      <c r="Q314" s="78"/>
      <c r="R314" s="78"/>
      <c r="S314" s="78"/>
      <c r="T314" s="83"/>
    </row>
    <row r="315" spans="1:20" ht="15" customHeight="1" x14ac:dyDescent="0.3">
      <c r="A315" s="73"/>
      <c r="B315" s="74"/>
      <c r="C315" s="75"/>
      <c r="D315" s="76"/>
      <c r="E315" s="77"/>
      <c r="F315" s="78"/>
      <c r="G315" s="78"/>
      <c r="H315" s="79"/>
      <c r="I315" s="80"/>
      <c r="J315" s="77"/>
      <c r="K315" s="81" t="b">
        <v>0</v>
      </c>
      <c r="L315" s="78"/>
      <c r="M315" s="82"/>
      <c r="N315" s="78"/>
      <c r="O315" s="78"/>
      <c r="P315" s="78"/>
      <c r="Q315" s="78"/>
      <c r="R315" s="78"/>
      <c r="S315" s="78"/>
      <c r="T315" s="83"/>
    </row>
    <row r="316" spans="1:20" ht="15" customHeight="1" x14ac:dyDescent="0.3">
      <c r="A316" s="73"/>
      <c r="B316" s="74"/>
      <c r="C316" s="75"/>
      <c r="D316" s="76"/>
      <c r="E316" s="77"/>
      <c r="F316" s="78"/>
      <c r="G316" s="78"/>
      <c r="H316" s="79"/>
      <c r="I316" s="80"/>
      <c r="J316" s="77"/>
      <c r="K316" s="81" t="b">
        <v>0</v>
      </c>
      <c r="L316" s="78"/>
      <c r="M316" s="82"/>
      <c r="N316" s="78"/>
      <c r="O316" s="78"/>
      <c r="P316" s="78"/>
      <c r="Q316" s="78"/>
      <c r="R316" s="78"/>
      <c r="S316" s="78"/>
      <c r="T316" s="83"/>
    </row>
    <row r="317" spans="1:20" ht="15" customHeight="1" x14ac:dyDescent="0.3">
      <c r="A317" s="73"/>
      <c r="B317" s="74"/>
      <c r="C317" s="75"/>
      <c r="D317" s="76"/>
      <c r="E317" s="77"/>
      <c r="F317" s="78"/>
      <c r="G317" s="78"/>
      <c r="H317" s="79"/>
      <c r="I317" s="80"/>
      <c r="J317" s="77"/>
      <c r="K317" s="81" t="b">
        <v>0</v>
      </c>
      <c r="L317" s="78"/>
      <c r="M317" s="82"/>
      <c r="N317" s="78"/>
      <c r="O317" s="78"/>
      <c r="P317" s="78"/>
      <c r="Q317" s="78"/>
      <c r="R317" s="78"/>
      <c r="S317" s="78"/>
      <c r="T317" s="83"/>
    </row>
    <row r="318" spans="1:20" ht="15" customHeight="1" x14ac:dyDescent="0.3">
      <c r="A318" s="73"/>
      <c r="B318" s="74"/>
      <c r="C318" s="75"/>
      <c r="D318" s="76"/>
      <c r="E318" s="77"/>
      <c r="F318" s="78"/>
      <c r="G318" s="78"/>
      <c r="H318" s="79"/>
      <c r="I318" s="80"/>
      <c r="J318" s="77"/>
      <c r="K318" s="81" t="b">
        <v>0</v>
      </c>
      <c r="L318" s="78"/>
      <c r="M318" s="82"/>
      <c r="N318" s="78"/>
      <c r="O318" s="78"/>
      <c r="P318" s="78"/>
      <c r="Q318" s="78"/>
      <c r="R318" s="78"/>
      <c r="S318" s="78"/>
      <c r="T318" s="83"/>
    </row>
    <row r="319" spans="1:20" ht="15" customHeight="1" x14ac:dyDescent="0.3">
      <c r="A319" s="73"/>
      <c r="B319" s="74"/>
      <c r="C319" s="75"/>
      <c r="D319" s="76"/>
      <c r="E319" s="77"/>
      <c r="F319" s="78"/>
      <c r="G319" s="78"/>
      <c r="H319" s="79"/>
      <c r="I319" s="80"/>
      <c r="J319" s="77"/>
      <c r="K319" s="81" t="b">
        <v>0</v>
      </c>
      <c r="L319" s="78"/>
      <c r="M319" s="82"/>
      <c r="N319" s="78"/>
      <c r="O319" s="78"/>
      <c r="P319" s="78"/>
      <c r="Q319" s="78"/>
      <c r="R319" s="78"/>
      <c r="S319" s="78"/>
      <c r="T319" s="83"/>
    </row>
    <row r="320" spans="1:20" ht="15" customHeight="1" x14ac:dyDescent="0.3">
      <c r="A320" s="73"/>
      <c r="B320" s="74"/>
      <c r="C320" s="75"/>
      <c r="D320" s="76"/>
      <c r="E320" s="77"/>
      <c r="F320" s="78"/>
      <c r="G320" s="78"/>
      <c r="H320" s="79"/>
      <c r="I320" s="80"/>
      <c r="J320" s="77"/>
      <c r="K320" s="81" t="b">
        <v>0</v>
      </c>
      <c r="L320" s="78"/>
      <c r="M320" s="82"/>
      <c r="N320" s="78"/>
      <c r="O320" s="78"/>
      <c r="P320" s="78"/>
      <c r="Q320" s="78"/>
      <c r="R320" s="78"/>
      <c r="S320" s="78"/>
      <c r="T320" s="83"/>
    </row>
    <row r="321" spans="1:20" ht="15" customHeight="1" x14ac:dyDescent="0.3">
      <c r="A321" s="73"/>
      <c r="B321" s="74"/>
      <c r="C321" s="75"/>
      <c r="D321" s="76"/>
      <c r="E321" s="77"/>
      <c r="F321" s="78"/>
      <c r="G321" s="78"/>
      <c r="H321" s="79"/>
      <c r="I321" s="80"/>
      <c r="J321" s="77"/>
      <c r="K321" s="81" t="b">
        <v>0</v>
      </c>
      <c r="L321" s="78"/>
      <c r="M321" s="82"/>
      <c r="N321" s="78"/>
      <c r="O321" s="78"/>
      <c r="P321" s="78"/>
      <c r="Q321" s="78"/>
      <c r="R321" s="78"/>
      <c r="S321" s="78"/>
      <c r="T321" s="83"/>
    </row>
    <row r="322" spans="1:20" ht="15" customHeight="1" x14ac:dyDescent="0.3">
      <c r="A322" s="73"/>
      <c r="B322" s="74"/>
      <c r="C322" s="75"/>
      <c r="D322" s="76"/>
      <c r="E322" s="77"/>
      <c r="F322" s="78"/>
      <c r="G322" s="78"/>
      <c r="H322" s="79"/>
      <c r="I322" s="80"/>
      <c r="J322" s="77"/>
      <c r="K322" s="81" t="b">
        <v>0</v>
      </c>
      <c r="L322" s="78"/>
      <c r="M322" s="82"/>
      <c r="N322" s="78"/>
      <c r="O322" s="78"/>
      <c r="P322" s="78"/>
      <c r="Q322" s="78"/>
      <c r="R322" s="78"/>
      <c r="S322" s="78"/>
      <c r="T322" s="83"/>
    </row>
    <row r="323" spans="1:20" ht="15" customHeight="1" x14ac:dyDescent="0.3">
      <c r="A323" s="73"/>
      <c r="B323" s="74"/>
      <c r="C323" s="75"/>
      <c r="D323" s="76"/>
      <c r="E323" s="77"/>
      <c r="F323" s="78"/>
      <c r="G323" s="78"/>
      <c r="H323" s="79"/>
      <c r="I323" s="80"/>
      <c r="J323" s="77"/>
      <c r="K323" s="81" t="b">
        <v>0</v>
      </c>
      <c r="L323" s="78"/>
      <c r="M323" s="82"/>
      <c r="N323" s="78"/>
      <c r="O323" s="78"/>
      <c r="P323" s="78"/>
      <c r="Q323" s="78"/>
      <c r="R323" s="78"/>
      <c r="S323" s="78"/>
      <c r="T323" s="83"/>
    </row>
    <row r="324" spans="1:20" ht="15" customHeight="1" x14ac:dyDescent="0.3">
      <c r="A324" s="73"/>
      <c r="B324" s="74"/>
      <c r="C324" s="75"/>
      <c r="D324" s="76"/>
      <c r="E324" s="77"/>
      <c r="F324" s="78"/>
      <c r="G324" s="78"/>
      <c r="H324" s="79"/>
      <c r="I324" s="80"/>
      <c r="J324" s="77"/>
      <c r="K324" s="81" t="b">
        <v>0</v>
      </c>
      <c r="L324" s="78"/>
      <c r="M324" s="82"/>
      <c r="N324" s="78"/>
      <c r="O324" s="78"/>
      <c r="P324" s="78"/>
      <c r="Q324" s="78"/>
      <c r="R324" s="78"/>
      <c r="S324" s="78"/>
      <c r="T324" s="83"/>
    </row>
    <row r="325" spans="1:20" ht="15" customHeight="1" x14ac:dyDescent="0.3">
      <c r="A325" s="73"/>
      <c r="B325" s="74"/>
      <c r="C325" s="75"/>
      <c r="D325" s="76"/>
      <c r="E325" s="77"/>
      <c r="F325" s="78"/>
      <c r="G325" s="78"/>
      <c r="H325" s="79"/>
      <c r="I325" s="80"/>
      <c r="J325" s="77"/>
      <c r="K325" s="81" t="b">
        <v>0</v>
      </c>
      <c r="L325" s="78"/>
      <c r="M325" s="82"/>
      <c r="N325" s="78"/>
      <c r="O325" s="78"/>
      <c r="P325" s="78"/>
      <c r="Q325" s="78"/>
      <c r="R325" s="78"/>
      <c r="S325" s="78"/>
      <c r="T325" s="83"/>
    </row>
    <row r="326" spans="1:20" ht="15" customHeight="1" x14ac:dyDescent="0.3">
      <c r="A326" s="73"/>
      <c r="B326" s="74"/>
      <c r="C326" s="75"/>
      <c r="D326" s="76"/>
      <c r="E326" s="77"/>
      <c r="F326" s="78"/>
      <c r="G326" s="78"/>
      <c r="H326" s="79"/>
      <c r="I326" s="80"/>
      <c r="J326" s="77"/>
      <c r="K326" s="81" t="b">
        <v>0</v>
      </c>
      <c r="L326" s="78"/>
      <c r="M326" s="82"/>
      <c r="N326" s="78"/>
      <c r="O326" s="78"/>
      <c r="P326" s="78"/>
      <c r="Q326" s="78"/>
      <c r="R326" s="78"/>
      <c r="S326" s="78"/>
      <c r="T326" s="83"/>
    </row>
    <row r="327" spans="1:20" ht="15" customHeight="1" x14ac:dyDescent="0.3">
      <c r="A327" s="73"/>
      <c r="B327" s="74"/>
      <c r="C327" s="75"/>
      <c r="D327" s="76"/>
      <c r="E327" s="77"/>
      <c r="F327" s="78"/>
      <c r="G327" s="78"/>
      <c r="H327" s="79"/>
      <c r="I327" s="80"/>
      <c r="J327" s="77"/>
      <c r="K327" s="81" t="b">
        <v>0</v>
      </c>
      <c r="L327" s="78"/>
      <c r="M327" s="82"/>
      <c r="N327" s="78"/>
      <c r="O327" s="78"/>
      <c r="P327" s="78"/>
      <c r="Q327" s="78"/>
      <c r="R327" s="78"/>
      <c r="S327" s="78"/>
      <c r="T327" s="83"/>
    </row>
    <row r="328" spans="1:20" ht="15" customHeight="1" x14ac:dyDescent="0.3">
      <c r="A328" s="73"/>
      <c r="B328" s="74"/>
      <c r="C328" s="75"/>
      <c r="D328" s="76"/>
      <c r="E328" s="77"/>
      <c r="F328" s="78"/>
      <c r="G328" s="78"/>
      <c r="H328" s="79"/>
      <c r="I328" s="80"/>
      <c r="J328" s="77"/>
      <c r="K328" s="81" t="b">
        <v>0</v>
      </c>
      <c r="L328" s="78"/>
      <c r="M328" s="82"/>
      <c r="N328" s="78"/>
      <c r="O328" s="78"/>
      <c r="P328" s="78"/>
      <c r="Q328" s="78"/>
      <c r="R328" s="78"/>
      <c r="S328" s="78"/>
      <c r="T328" s="83"/>
    </row>
    <row r="329" spans="1:20" ht="15" customHeight="1" x14ac:dyDescent="0.3">
      <c r="A329" s="73"/>
      <c r="B329" s="74"/>
      <c r="C329" s="75"/>
      <c r="D329" s="76"/>
      <c r="E329" s="77"/>
      <c r="F329" s="78"/>
      <c r="G329" s="78"/>
      <c r="H329" s="79"/>
      <c r="I329" s="80"/>
      <c r="J329" s="77"/>
      <c r="K329" s="81" t="b">
        <v>0</v>
      </c>
      <c r="L329" s="78"/>
      <c r="M329" s="82"/>
      <c r="N329" s="78"/>
      <c r="O329" s="78"/>
      <c r="P329" s="78"/>
      <c r="Q329" s="78"/>
      <c r="R329" s="78"/>
      <c r="S329" s="78"/>
      <c r="T329" s="83"/>
    </row>
    <row r="330" spans="1:20" ht="15" customHeight="1" x14ac:dyDescent="0.3">
      <c r="A330" s="73"/>
      <c r="B330" s="74"/>
      <c r="C330" s="75"/>
      <c r="D330" s="76"/>
      <c r="E330" s="77"/>
      <c r="F330" s="78"/>
      <c r="G330" s="78"/>
      <c r="H330" s="79"/>
      <c r="I330" s="80"/>
      <c r="J330" s="77"/>
      <c r="K330" s="81" t="b">
        <v>0</v>
      </c>
      <c r="L330" s="78"/>
      <c r="M330" s="82"/>
      <c r="N330" s="78"/>
      <c r="O330" s="78"/>
      <c r="P330" s="78"/>
      <c r="Q330" s="78"/>
      <c r="R330" s="78"/>
      <c r="S330" s="78"/>
      <c r="T330" s="83"/>
    </row>
    <row r="331" spans="1:20" ht="15" customHeight="1" x14ac:dyDescent="0.3">
      <c r="A331" s="73"/>
      <c r="B331" s="74"/>
      <c r="C331" s="75"/>
      <c r="D331" s="76"/>
      <c r="E331" s="77"/>
      <c r="F331" s="78"/>
      <c r="G331" s="78"/>
      <c r="H331" s="79"/>
      <c r="I331" s="80"/>
      <c r="J331" s="77"/>
      <c r="K331" s="81" t="b">
        <v>0</v>
      </c>
      <c r="L331" s="78"/>
      <c r="M331" s="82"/>
      <c r="N331" s="78"/>
      <c r="O331" s="78"/>
      <c r="P331" s="78"/>
      <c r="Q331" s="78"/>
      <c r="R331" s="78"/>
      <c r="S331" s="78"/>
      <c r="T331" s="83"/>
    </row>
    <row r="332" spans="1:20" ht="15" customHeight="1" x14ac:dyDescent="0.3">
      <c r="A332" s="73"/>
      <c r="B332" s="74"/>
      <c r="C332" s="75"/>
      <c r="D332" s="76"/>
      <c r="E332" s="77"/>
      <c r="F332" s="78"/>
      <c r="G332" s="78"/>
      <c r="H332" s="79"/>
      <c r="I332" s="80"/>
      <c r="J332" s="77"/>
      <c r="K332" s="81" t="b">
        <v>0</v>
      </c>
      <c r="L332" s="78"/>
      <c r="M332" s="82"/>
      <c r="N332" s="78"/>
      <c r="O332" s="78"/>
      <c r="P332" s="78"/>
      <c r="Q332" s="78"/>
      <c r="R332" s="78"/>
      <c r="S332" s="78"/>
      <c r="T332" s="83"/>
    </row>
    <row r="333" spans="1:20" ht="15" customHeight="1" x14ac:dyDescent="0.3">
      <c r="A333" s="73"/>
      <c r="B333" s="74"/>
      <c r="C333" s="75"/>
      <c r="D333" s="76"/>
      <c r="E333" s="77"/>
      <c r="F333" s="78"/>
      <c r="G333" s="78"/>
      <c r="H333" s="79"/>
      <c r="I333" s="80"/>
      <c r="J333" s="77"/>
      <c r="K333" s="81" t="b">
        <v>0</v>
      </c>
      <c r="L333" s="78"/>
      <c r="M333" s="82"/>
      <c r="N333" s="78"/>
      <c r="O333" s="78"/>
      <c r="P333" s="78"/>
      <c r="Q333" s="78"/>
      <c r="R333" s="78"/>
      <c r="S333" s="78"/>
      <c r="T333" s="83"/>
    </row>
    <row r="334" spans="1:20" ht="15" customHeight="1" x14ac:dyDescent="0.3">
      <c r="A334" s="73"/>
      <c r="B334" s="74"/>
      <c r="C334" s="75"/>
      <c r="D334" s="76"/>
      <c r="E334" s="77"/>
      <c r="F334" s="78"/>
      <c r="G334" s="78"/>
      <c r="H334" s="79"/>
      <c r="I334" s="80"/>
      <c r="J334" s="77"/>
      <c r="K334" s="81" t="b">
        <v>0</v>
      </c>
      <c r="L334" s="78"/>
      <c r="M334" s="82"/>
      <c r="N334" s="78"/>
      <c r="O334" s="78"/>
      <c r="P334" s="78"/>
      <c r="Q334" s="78"/>
      <c r="R334" s="78"/>
      <c r="S334" s="78"/>
      <c r="T334" s="83"/>
    </row>
    <row r="335" spans="1:20" ht="15" customHeight="1" x14ac:dyDescent="0.3">
      <c r="A335" s="73"/>
      <c r="B335" s="74"/>
      <c r="C335" s="75"/>
      <c r="D335" s="76"/>
      <c r="E335" s="77"/>
      <c r="F335" s="78"/>
      <c r="G335" s="78"/>
      <c r="H335" s="79"/>
      <c r="I335" s="80"/>
      <c r="J335" s="77"/>
      <c r="K335" s="81" t="b">
        <v>0</v>
      </c>
      <c r="L335" s="78"/>
      <c r="M335" s="82"/>
      <c r="N335" s="78"/>
      <c r="O335" s="78"/>
      <c r="P335" s="78"/>
      <c r="Q335" s="78"/>
      <c r="R335" s="78"/>
      <c r="S335" s="78"/>
      <c r="T335" s="83"/>
    </row>
    <row r="336" spans="1:20" ht="15" customHeight="1" x14ac:dyDescent="0.3">
      <c r="A336" s="73"/>
      <c r="B336" s="74"/>
      <c r="C336" s="75"/>
      <c r="D336" s="76"/>
      <c r="E336" s="77"/>
      <c r="F336" s="78"/>
      <c r="G336" s="78"/>
      <c r="H336" s="79"/>
      <c r="I336" s="80"/>
      <c r="J336" s="77"/>
      <c r="K336" s="81" t="b">
        <v>0</v>
      </c>
      <c r="L336" s="78"/>
      <c r="M336" s="82"/>
      <c r="N336" s="78"/>
      <c r="O336" s="78"/>
      <c r="P336" s="78"/>
      <c r="Q336" s="78"/>
      <c r="R336" s="78"/>
      <c r="S336" s="78"/>
      <c r="T336" s="83"/>
    </row>
    <row r="337" spans="1:20" ht="15" customHeight="1" x14ac:dyDescent="0.3">
      <c r="A337" s="73"/>
      <c r="B337" s="74"/>
      <c r="C337" s="75"/>
      <c r="D337" s="76"/>
      <c r="E337" s="77"/>
      <c r="F337" s="78"/>
      <c r="G337" s="78"/>
      <c r="H337" s="79"/>
      <c r="I337" s="80"/>
      <c r="J337" s="77"/>
      <c r="K337" s="81" t="b">
        <v>0</v>
      </c>
      <c r="L337" s="78"/>
      <c r="M337" s="82"/>
      <c r="N337" s="78"/>
      <c r="O337" s="78"/>
      <c r="P337" s="78"/>
      <c r="Q337" s="78"/>
      <c r="R337" s="78"/>
      <c r="S337" s="78"/>
      <c r="T337" s="83"/>
    </row>
    <row r="338" spans="1:20" ht="15" customHeight="1" x14ac:dyDescent="0.3">
      <c r="A338" s="73"/>
      <c r="B338" s="74"/>
      <c r="C338" s="75"/>
      <c r="D338" s="76"/>
      <c r="E338" s="77"/>
      <c r="F338" s="78"/>
      <c r="G338" s="78"/>
      <c r="H338" s="79"/>
      <c r="I338" s="80"/>
      <c r="J338" s="77"/>
      <c r="K338" s="81" t="b">
        <v>0</v>
      </c>
      <c r="L338" s="78"/>
      <c r="M338" s="82"/>
      <c r="N338" s="78"/>
      <c r="O338" s="78"/>
      <c r="P338" s="78"/>
      <c r="Q338" s="78"/>
      <c r="R338" s="78"/>
      <c r="S338" s="78"/>
      <c r="T338" s="83"/>
    </row>
    <row r="339" spans="1:20" ht="15" customHeight="1" x14ac:dyDescent="0.3">
      <c r="A339" s="73"/>
      <c r="B339" s="74"/>
      <c r="C339" s="75"/>
      <c r="D339" s="76"/>
      <c r="E339" s="77"/>
      <c r="F339" s="78"/>
      <c r="G339" s="78"/>
      <c r="H339" s="79"/>
      <c r="I339" s="80"/>
      <c r="J339" s="77"/>
      <c r="K339" s="81" t="b">
        <v>0</v>
      </c>
      <c r="L339" s="78"/>
      <c r="M339" s="82"/>
      <c r="N339" s="78"/>
      <c r="O339" s="78"/>
      <c r="P339" s="78"/>
      <c r="Q339" s="78"/>
      <c r="R339" s="78"/>
      <c r="S339" s="78"/>
      <c r="T339" s="83"/>
    </row>
    <row r="340" spans="1:20" ht="15" customHeight="1" x14ac:dyDescent="0.3">
      <c r="A340" s="73"/>
      <c r="B340" s="74"/>
      <c r="C340" s="75"/>
      <c r="D340" s="76"/>
      <c r="E340" s="77"/>
      <c r="F340" s="78"/>
      <c r="G340" s="78"/>
      <c r="H340" s="79"/>
      <c r="I340" s="80"/>
      <c r="J340" s="77"/>
      <c r="K340" s="81" t="b">
        <v>0</v>
      </c>
      <c r="L340" s="78"/>
      <c r="M340" s="82"/>
      <c r="N340" s="78"/>
      <c r="O340" s="78"/>
      <c r="P340" s="78"/>
      <c r="Q340" s="78"/>
      <c r="R340" s="78"/>
      <c r="S340" s="78"/>
      <c r="T340" s="83"/>
    </row>
    <row r="341" spans="1:20" ht="15" customHeight="1" x14ac:dyDescent="0.3">
      <c r="A341" s="73"/>
      <c r="B341" s="74"/>
      <c r="C341" s="75"/>
      <c r="D341" s="76"/>
      <c r="E341" s="77"/>
      <c r="F341" s="78"/>
      <c r="G341" s="78"/>
      <c r="H341" s="79"/>
      <c r="I341" s="80"/>
      <c r="J341" s="77"/>
      <c r="K341" s="81" t="b">
        <v>0</v>
      </c>
      <c r="L341" s="78"/>
      <c r="M341" s="82"/>
      <c r="N341" s="78"/>
      <c r="O341" s="78"/>
      <c r="P341" s="78"/>
      <c r="Q341" s="78"/>
      <c r="R341" s="78"/>
      <c r="S341" s="78"/>
      <c r="T341" s="83"/>
    </row>
    <row r="342" spans="1:20" ht="15" customHeight="1" x14ac:dyDescent="0.3">
      <c r="A342" s="73"/>
      <c r="B342" s="74"/>
      <c r="C342" s="75"/>
      <c r="D342" s="76"/>
      <c r="E342" s="77"/>
      <c r="F342" s="78"/>
      <c r="G342" s="78"/>
      <c r="H342" s="79"/>
      <c r="I342" s="80"/>
      <c r="J342" s="77"/>
      <c r="K342" s="81" t="b">
        <v>0</v>
      </c>
      <c r="L342" s="78"/>
      <c r="M342" s="82"/>
      <c r="N342" s="78"/>
      <c r="O342" s="78"/>
      <c r="P342" s="78"/>
      <c r="Q342" s="78"/>
      <c r="R342" s="78"/>
      <c r="S342" s="78"/>
      <c r="T342" s="83"/>
    </row>
    <row r="343" spans="1:20" ht="15" customHeight="1" x14ac:dyDescent="0.3">
      <c r="A343" s="73"/>
      <c r="B343" s="74"/>
      <c r="C343" s="75"/>
      <c r="D343" s="76"/>
      <c r="E343" s="77"/>
      <c r="F343" s="78"/>
      <c r="G343" s="78"/>
      <c r="H343" s="79"/>
      <c r="I343" s="80"/>
      <c r="J343" s="77"/>
      <c r="K343" s="81" t="b">
        <v>0</v>
      </c>
      <c r="L343" s="78"/>
      <c r="M343" s="82"/>
      <c r="N343" s="78"/>
      <c r="O343" s="78"/>
      <c r="P343" s="78"/>
      <c r="Q343" s="78"/>
      <c r="R343" s="78"/>
      <c r="S343" s="78"/>
      <c r="T343" s="83"/>
    </row>
    <row r="344" spans="1:20" ht="15" customHeight="1" x14ac:dyDescent="0.3">
      <c r="A344" s="73"/>
      <c r="B344" s="74"/>
      <c r="C344" s="75"/>
      <c r="D344" s="76"/>
      <c r="E344" s="77"/>
      <c r="F344" s="78"/>
      <c r="G344" s="78"/>
      <c r="H344" s="79"/>
      <c r="I344" s="80"/>
      <c r="J344" s="77"/>
      <c r="K344" s="81" t="b">
        <v>0</v>
      </c>
      <c r="L344" s="78"/>
      <c r="M344" s="82"/>
      <c r="N344" s="78"/>
      <c r="O344" s="78"/>
      <c r="P344" s="78"/>
      <c r="Q344" s="78"/>
      <c r="R344" s="78"/>
      <c r="S344" s="78"/>
      <c r="T344" s="83"/>
    </row>
    <row r="345" spans="1:20" ht="15" customHeight="1" x14ac:dyDescent="0.3">
      <c r="A345" s="73"/>
      <c r="B345" s="74"/>
      <c r="C345" s="75"/>
      <c r="D345" s="76"/>
      <c r="E345" s="77"/>
      <c r="F345" s="78"/>
      <c r="G345" s="78"/>
      <c r="H345" s="79"/>
      <c r="I345" s="80"/>
      <c r="J345" s="77"/>
      <c r="K345" s="81" t="b">
        <v>0</v>
      </c>
      <c r="L345" s="78"/>
      <c r="M345" s="82"/>
      <c r="N345" s="78"/>
      <c r="O345" s="78"/>
      <c r="P345" s="78"/>
      <c r="Q345" s="78"/>
      <c r="R345" s="78"/>
      <c r="S345" s="78"/>
      <c r="T345" s="83"/>
    </row>
    <row r="346" spans="1:20" ht="15" customHeight="1" x14ac:dyDescent="0.3">
      <c r="A346" s="73"/>
      <c r="B346" s="74"/>
      <c r="C346" s="75"/>
      <c r="D346" s="76"/>
      <c r="E346" s="77"/>
      <c r="F346" s="78"/>
      <c r="G346" s="78"/>
      <c r="H346" s="79"/>
      <c r="I346" s="80"/>
      <c r="J346" s="77"/>
      <c r="K346" s="81" t="b">
        <v>0</v>
      </c>
      <c r="L346" s="78"/>
      <c r="M346" s="82"/>
      <c r="N346" s="78"/>
      <c r="O346" s="78"/>
      <c r="P346" s="78"/>
      <c r="Q346" s="78"/>
      <c r="R346" s="78"/>
      <c r="S346" s="78"/>
      <c r="T346" s="83"/>
    </row>
    <row r="347" spans="1:20" ht="15" customHeight="1" x14ac:dyDescent="0.3">
      <c r="A347" s="73"/>
      <c r="B347" s="74"/>
      <c r="C347" s="75"/>
      <c r="D347" s="76"/>
      <c r="E347" s="77"/>
      <c r="F347" s="78"/>
      <c r="G347" s="78"/>
      <c r="H347" s="79"/>
      <c r="I347" s="80"/>
      <c r="J347" s="77"/>
      <c r="K347" s="81" t="b">
        <v>0</v>
      </c>
      <c r="L347" s="78"/>
      <c r="M347" s="82"/>
      <c r="N347" s="78"/>
      <c r="O347" s="78"/>
      <c r="P347" s="78"/>
      <c r="Q347" s="78"/>
      <c r="R347" s="78"/>
      <c r="S347" s="78"/>
      <c r="T347" s="83"/>
    </row>
    <row r="348" spans="1:20" ht="15" customHeight="1" x14ac:dyDescent="0.3">
      <c r="A348" s="73"/>
      <c r="B348" s="74"/>
      <c r="C348" s="75"/>
      <c r="D348" s="76"/>
      <c r="E348" s="77"/>
      <c r="F348" s="78"/>
      <c r="G348" s="78"/>
      <c r="H348" s="79"/>
      <c r="I348" s="80"/>
      <c r="J348" s="77"/>
      <c r="K348" s="81" t="b">
        <v>0</v>
      </c>
      <c r="L348" s="78"/>
      <c r="M348" s="82"/>
      <c r="N348" s="78"/>
      <c r="O348" s="78"/>
      <c r="P348" s="78"/>
      <c r="Q348" s="78"/>
      <c r="R348" s="78"/>
      <c r="S348" s="78"/>
      <c r="T348" s="83"/>
    </row>
    <row r="349" spans="1:20" ht="15" customHeight="1" x14ac:dyDescent="0.3">
      <c r="A349" s="73"/>
      <c r="B349" s="74"/>
      <c r="C349" s="75"/>
      <c r="D349" s="76"/>
      <c r="E349" s="77"/>
      <c r="F349" s="78"/>
      <c r="G349" s="78"/>
      <c r="H349" s="79"/>
      <c r="I349" s="80"/>
      <c r="J349" s="77"/>
      <c r="K349" s="81" t="b">
        <v>0</v>
      </c>
      <c r="L349" s="78"/>
      <c r="M349" s="82"/>
      <c r="N349" s="78"/>
      <c r="O349" s="78"/>
      <c r="P349" s="78"/>
      <c r="Q349" s="78"/>
      <c r="R349" s="78"/>
      <c r="S349" s="78"/>
      <c r="T349" s="83"/>
    </row>
    <row r="350" spans="1:20" ht="15" customHeight="1" x14ac:dyDescent="0.3">
      <c r="A350" s="73"/>
      <c r="B350" s="74"/>
      <c r="C350" s="75"/>
      <c r="D350" s="76"/>
      <c r="E350" s="77"/>
      <c r="F350" s="78"/>
      <c r="G350" s="78"/>
      <c r="H350" s="79"/>
      <c r="I350" s="80"/>
      <c r="J350" s="77"/>
      <c r="K350" s="81" t="b">
        <v>0</v>
      </c>
      <c r="L350" s="78"/>
      <c r="M350" s="82"/>
      <c r="N350" s="78"/>
      <c r="O350" s="78"/>
      <c r="P350" s="78"/>
      <c r="Q350" s="78"/>
      <c r="R350" s="78"/>
      <c r="S350" s="78"/>
      <c r="T350" s="83"/>
    </row>
    <row r="351" spans="1:20" ht="15" customHeight="1" x14ac:dyDescent="0.3">
      <c r="A351" s="73"/>
      <c r="B351" s="74"/>
      <c r="C351" s="75"/>
      <c r="D351" s="76"/>
      <c r="E351" s="77"/>
      <c r="F351" s="78"/>
      <c r="G351" s="78"/>
      <c r="H351" s="79"/>
      <c r="I351" s="80"/>
      <c r="J351" s="77"/>
      <c r="K351" s="81" t="b">
        <v>0</v>
      </c>
      <c r="L351" s="78"/>
      <c r="M351" s="82"/>
      <c r="N351" s="78"/>
      <c r="O351" s="78"/>
      <c r="P351" s="78"/>
      <c r="Q351" s="78"/>
      <c r="R351" s="78"/>
      <c r="S351" s="78"/>
      <c r="T351" s="83"/>
    </row>
    <row r="352" spans="1:20" ht="15" customHeight="1" x14ac:dyDescent="0.3">
      <c r="A352" s="73"/>
      <c r="B352" s="74"/>
      <c r="C352" s="75"/>
      <c r="D352" s="76"/>
      <c r="E352" s="77"/>
      <c r="F352" s="78"/>
      <c r="G352" s="78"/>
      <c r="H352" s="79"/>
      <c r="I352" s="80"/>
      <c r="J352" s="77"/>
      <c r="K352" s="81" t="b">
        <v>0</v>
      </c>
      <c r="L352" s="78"/>
      <c r="M352" s="82"/>
      <c r="N352" s="78"/>
      <c r="O352" s="78"/>
      <c r="P352" s="78"/>
      <c r="Q352" s="78"/>
      <c r="R352" s="78"/>
      <c r="S352" s="78"/>
      <c r="T352" s="83"/>
    </row>
    <row r="353" spans="1:20" ht="15" customHeight="1" x14ac:dyDescent="0.3">
      <c r="A353" s="73"/>
      <c r="B353" s="74"/>
      <c r="C353" s="75"/>
      <c r="D353" s="76"/>
      <c r="E353" s="77"/>
      <c r="F353" s="78"/>
      <c r="G353" s="78"/>
      <c r="H353" s="79"/>
      <c r="I353" s="80"/>
      <c r="J353" s="77"/>
      <c r="K353" s="81" t="b">
        <v>0</v>
      </c>
      <c r="L353" s="78"/>
      <c r="M353" s="82"/>
      <c r="N353" s="78"/>
      <c r="O353" s="78"/>
      <c r="P353" s="78"/>
      <c r="Q353" s="78"/>
      <c r="R353" s="78"/>
      <c r="S353" s="78"/>
      <c r="T353" s="83"/>
    </row>
    <row r="354" spans="1:20" ht="15" customHeight="1" x14ac:dyDescent="0.3">
      <c r="A354" s="73"/>
      <c r="B354" s="74"/>
      <c r="C354" s="75"/>
      <c r="D354" s="76"/>
      <c r="E354" s="77"/>
      <c r="F354" s="78"/>
      <c r="G354" s="78"/>
      <c r="H354" s="79"/>
      <c r="I354" s="80"/>
      <c r="J354" s="77"/>
      <c r="K354" s="81" t="b">
        <v>0</v>
      </c>
      <c r="L354" s="78"/>
      <c r="M354" s="82"/>
      <c r="N354" s="78"/>
      <c r="O354" s="78"/>
      <c r="P354" s="78"/>
      <c r="Q354" s="78"/>
      <c r="R354" s="78"/>
      <c r="S354" s="78"/>
      <c r="T354" s="83"/>
    </row>
    <row r="355" spans="1:20" ht="15" customHeight="1" x14ac:dyDescent="0.3">
      <c r="A355" s="73"/>
      <c r="B355" s="74"/>
      <c r="C355" s="75"/>
      <c r="D355" s="76"/>
      <c r="E355" s="77"/>
      <c r="F355" s="78"/>
      <c r="G355" s="78"/>
      <c r="H355" s="79"/>
      <c r="I355" s="80"/>
      <c r="J355" s="77"/>
      <c r="K355" s="81" t="b">
        <v>0</v>
      </c>
      <c r="L355" s="78"/>
      <c r="M355" s="82"/>
      <c r="N355" s="78"/>
      <c r="O355" s="78"/>
      <c r="P355" s="78"/>
      <c r="Q355" s="78"/>
      <c r="R355" s="78"/>
      <c r="S355" s="78"/>
      <c r="T355" s="83"/>
    </row>
    <row r="356" spans="1:20" ht="15" customHeight="1" x14ac:dyDescent="0.3">
      <c r="A356" s="73"/>
      <c r="B356" s="74"/>
      <c r="C356" s="75"/>
      <c r="D356" s="76"/>
      <c r="E356" s="77"/>
      <c r="F356" s="78"/>
      <c r="G356" s="78"/>
      <c r="H356" s="79"/>
      <c r="I356" s="80"/>
      <c r="J356" s="77"/>
      <c r="K356" s="81" t="b">
        <v>0</v>
      </c>
      <c r="L356" s="78"/>
      <c r="M356" s="82"/>
      <c r="N356" s="78"/>
      <c r="O356" s="78"/>
      <c r="P356" s="78"/>
      <c r="Q356" s="78"/>
      <c r="R356" s="78"/>
      <c r="S356" s="78"/>
      <c r="T356" s="83"/>
    </row>
    <row r="357" spans="1:20" ht="15" customHeight="1" x14ac:dyDescent="0.3">
      <c r="A357" s="73"/>
      <c r="B357" s="74"/>
      <c r="C357" s="75"/>
      <c r="D357" s="76"/>
      <c r="E357" s="77"/>
      <c r="F357" s="78"/>
      <c r="G357" s="78"/>
      <c r="H357" s="79"/>
      <c r="I357" s="80"/>
      <c r="J357" s="77"/>
      <c r="K357" s="81" t="b">
        <v>0</v>
      </c>
      <c r="L357" s="78"/>
      <c r="M357" s="82"/>
      <c r="N357" s="78"/>
      <c r="O357" s="78"/>
      <c r="P357" s="78"/>
      <c r="Q357" s="78"/>
      <c r="R357" s="78"/>
      <c r="S357" s="78"/>
      <c r="T357" s="83"/>
    </row>
    <row r="358" spans="1:20" ht="15" customHeight="1" x14ac:dyDescent="0.3">
      <c r="A358" s="73"/>
      <c r="B358" s="74"/>
      <c r="C358" s="75"/>
      <c r="D358" s="76"/>
      <c r="E358" s="77"/>
      <c r="F358" s="78"/>
      <c r="G358" s="78"/>
      <c r="H358" s="79"/>
      <c r="I358" s="80"/>
      <c r="J358" s="77"/>
      <c r="K358" s="81" t="b">
        <v>0</v>
      </c>
      <c r="L358" s="78"/>
      <c r="M358" s="82"/>
      <c r="N358" s="78"/>
      <c r="O358" s="78"/>
      <c r="P358" s="78"/>
      <c r="Q358" s="78"/>
      <c r="R358" s="78"/>
      <c r="S358" s="78"/>
      <c r="T358" s="83"/>
    </row>
    <row r="359" spans="1:20" ht="15" customHeight="1" x14ac:dyDescent="0.3">
      <c r="A359" s="73"/>
      <c r="B359" s="74"/>
      <c r="C359" s="75"/>
      <c r="D359" s="76"/>
      <c r="E359" s="77"/>
      <c r="F359" s="78"/>
      <c r="G359" s="78"/>
      <c r="H359" s="79"/>
      <c r="I359" s="80"/>
      <c r="J359" s="77"/>
      <c r="K359" s="81" t="b">
        <v>0</v>
      </c>
      <c r="L359" s="78"/>
      <c r="M359" s="82"/>
      <c r="N359" s="78"/>
      <c r="O359" s="78"/>
      <c r="P359" s="78"/>
      <c r="Q359" s="78"/>
      <c r="R359" s="78"/>
      <c r="S359" s="78"/>
      <c r="T359" s="83"/>
    </row>
    <row r="360" spans="1:20" ht="15" customHeight="1" x14ac:dyDescent="0.3">
      <c r="A360" s="73"/>
      <c r="B360" s="74"/>
      <c r="C360" s="75"/>
      <c r="D360" s="76"/>
      <c r="E360" s="77"/>
      <c r="F360" s="78"/>
      <c r="G360" s="78"/>
      <c r="H360" s="79"/>
      <c r="I360" s="80"/>
      <c r="J360" s="77"/>
      <c r="K360" s="81" t="b">
        <v>0</v>
      </c>
      <c r="L360" s="78"/>
      <c r="M360" s="82"/>
      <c r="N360" s="78"/>
      <c r="O360" s="78"/>
      <c r="P360" s="78"/>
      <c r="Q360" s="78"/>
      <c r="R360" s="78"/>
      <c r="S360" s="78"/>
      <c r="T360" s="83"/>
    </row>
    <row r="361" spans="1:20" ht="15" customHeight="1" x14ac:dyDescent="0.3">
      <c r="A361" s="73"/>
      <c r="B361" s="74"/>
      <c r="C361" s="75"/>
      <c r="D361" s="76"/>
      <c r="E361" s="77"/>
      <c r="F361" s="78"/>
      <c r="G361" s="78"/>
      <c r="H361" s="79"/>
      <c r="I361" s="80"/>
      <c r="J361" s="77"/>
      <c r="K361" s="81" t="b">
        <v>0</v>
      </c>
      <c r="L361" s="78"/>
      <c r="M361" s="82"/>
      <c r="N361" s="78"/>
      <c r="O361" s="78"/>
      <c r="P361" s="78"/>
      <c r="Q361" s="78"/>
      <c r="R361" s="78"/>
      <c r="S361" s="78"/>
      <c r="T361" s="83"/>
    </row>
    <row r="362" spans="1:20" ht="15" customHeight="1" x14ac:dyDescent="0.3">
      <c r="A362" s="73"/>
      <c r="B362" s="74"/>
      <c r="C362" s="75"/>
      <c r="D362" s="76"/>
      <c r="E362" s="77"/>
      <c r="F362" s="78"/>
      <c r="G362" s="78"/>
      <c r="H362" s="79"/>
      <c r="I362" s="80"/>
      <c r="J362" s="77"/>
      <c r="K362" s="81" t="b">
        <v>0</v>
      </c>
      <c r="L362" s="78"/>
      <c r="M362" s="82"/>
      <c r="N362" s="78"/>
      <c r="O362" s="78"/>
      <c r="P362" s="78"/>
      <c r="Q362" s="78"/>
      <c r="R362" s="78"/>
      <c r="S362" s="78"/>
      <c r="T362" s="83"/>
    </row>
    <row r="363" spans="1:20" ht="15" customHeight="1" x14ac:dyDescent="0.3">
      <c r="A363" s="73"/>
      <c r="B363" s="74"/>
      <c r="C363" s="75"/>
      <c r="D363" s="76"/>
      <c r="E363" s="77"/>
      <c r="F363" s="78"/>
      <c r="G363" s="78"/>
      <c r="H363" s="79"/>
      <c r="I363" s="80"/>
      <c r="J363" s="77"/>
      <c r="K363" s="81" t="b">
        <v>0</v>
      </c>
      <c r="L363" s="78"/>
      <c r="M363" s="82"/>
      <c r="N363" s="78"/>
      <c r="O363" s="78"/>
      <c r="P363" s="78"/>
      <c r="Q363" s="78"/>
      <c r="R363" s="78"/>
      <c r="S363" s="78"/>
      <c r="T363" s="83"/>
    </row>
    <row r="364" spans="1:20" ht="15" customHeight="1" x14ac:dyDescent="0.3">
      <c r="A364" s="73"/>
      <c r="B364" s="74"/>
      <c r="C364" s="75"/>
      <c r="D364" s="76"/>
      <c r="E364" s="77"/>
      <c r="F364" s="78"/>
      <c r="G364" s="78"/>
      <c r="H364" s="79"/>
      <c r="I364" s="80"/>
      <c r="J364" s="77"/>
      <c r="K364" s="81" t="b">
        <v>0</v>
      </c>
      <c r="L364" s="78"/>
      <c r="M364" s="82"/>
      <c r="N364" s="78"/>
      <c r="O364" s="78"/>
      <c r="P364" s="78"/>
      <c r="Q364" s="78"/>
      <c r="R364" s="78"/>
      <c r="S364" s="78"/>
      <c r="T364" s="83"/>
    </row>
    <row r="365" spans="1:20" ht="15" customHeight="1" x14ac:dyDescent="0.3">
      <c r="A365" s="73"/>
      <c r="B365" s="74"/>
      <c r="C365" s="75"/>
      <c r="D365" s="76"/>
      <c r="E365" s="77"/>
      <c r="F365" s="78"/>
      <c r="G365" s="78"/>
      <c r="H365" s="79"/>
      <c r="I365" s="80"/>
      <c r="J365" s="77"/>
      <c r="K365" s="81" t="b">
        <v>0</v>
      </c>
      <c r="L365" s="78"/>
      <c r="M365" s="82"/>
      <c r="N365" s="78"/>
      <c r="O365" s="78"/>
      <c r="P365" s="78"/>
      <c r="Q365" s="78"/>
      <c r="R365" s="78"/>
      <c r="S365" s="78"/>
      <c r="T365" s="83"/>
    </row>
    <row r="366" spans="1:20" ht="15" customHeight="1" x14ac:dyDescent="0.3">
      <c r="A366" s="73"/>
      <c r="B366" s="74"/>
      <c r="C366" s="75"/>
      <c r="D366" s="76"/>
      <c r="E366" s="77"/>
      <c r="F366" s="78"/>
      <c r="G366" s="78"/>
      <c r="H366" s="79"/>
      <c r="I366" s="80"/>
      <c r="J366" s="77"/>
      <c r="K366" s="81" t="b">
        <v>0</v>
      </c>
      <c r="L366" s="78"/>
      <c r="M366" s="82"/>
      <c r="N366" s="78"/>
      <c r="O366" s="78"/>
      <c r="P366" s="78"/>
      <c r="Q366" s="78"/>
      <c r="R366" s="78"/>
      <c r="S366" s="78"/>
      <c r="T366" s="83"/>
    </row>
    <row r="367" spans="1:20" ht="15" customHeight="1" x14ac:dyDescent="0.3">
      <c r="A367" s="73"/>
      <c r="B367" s="74"/>
      <c r="C367" s="75"/>
      <c r="D367" s="76"/>
      <c r="E367" s="77"/>
      <c r="F367" s="78"/>
      <c r="G367" s="78"/>
      <c r="H367" s="79"/>
      <c r="I367" s="80"/>
      <c r="J367" s="77"/>
      <c r="K367" s="81" t="b">
        <v>0</v>
      </c>
      <c r="L367" s="78"/>
      <c r="M367" s="82"/>
      <c r="N367" s="78"/>
      <c r="O367" s="78"/>
      <c r="P367" s="78"/>
      <c r="Q367" s="78"/>
      <c r="R367" s="78"/>
      <c r="S367" s="78"/>
      <c r="T367" s="83"/>
    </row>
    <row r="368" spans="1:20" ht="15" customHeight="1" x14ac:dyDescent="0.3">
      <c r="A368" s="73"/>
      <c r="B368" s="74"/>
      <c r="C368" s="75"/>
      <c r="D368" s="76"/>
      <c r="E368" s="77"/>
      <c r="F368" s="78"/>
      <c r="G368" s="78"/>
      <c r="H368" s="79"/>
      <c r="I368" s="80"/>
      <c r="J368" s="77"/>
      <c r="K368" s="81" t="b">
        <v>0</v>
      </c>
      <c r="L368" s="78"/>
      <c r="M368" s="82"/>
      <c r="N368" s="78"/>
      <c r="O368" s="78"/>
      <c r="P368" s="78"/>
      <c r="Q368" s="78"/>
      <c r="R368" s="78"/>
      <c r="S368" s="78"/>
      <c r="T368" s="83"/>
    </row>
    <row r="369" spans="1:20" ht="15" customHeight="1" x14ac:dyDescent="0.3">
      <c r="A369" s="73"/>
      <c r="B369" s="74"/>
      <c r="C369" s="75"/>
      <c r="D369" s="76"/>
      <c r="E369" s="77"/>
      <c r="F369" s="78"/>
      <c r="G369" s="78"/>
      <c r="H369" s="79"/>
      <c r="I369" s="80"/>
      <c r="J369" s="77"/>
      <c r="K369" s="81" t="b">
        <v>0</v>
      </c>
      <c r="L369" s="78"/>
      <c r="M369" s="82"/>
      <c r="N369" s="78"/>
      <c r="O369" s="78"/>
      <c r="P369" s="78"/>
      <c r="Q369" s="78"/>
      <c r="R369" s="78"/>
      <c r="S369" s="78"/>
      <c r="T369" s="83"/>
    </row>
    <row r="370" spans="1:20" ht="15" customHeight="1" x14ac:dyDescent="0.3">
      <c r="A370" s="73"/>
      <c r="B370" s="74"/>
      <c r="C370" s="75"/>
      <c r="D370" s="76"/>
      <c r="E370" s="77"/>
      <c r="F370" s="78"/>
      <c r="G370" s="78"/>
      <c r="H370" s="79"/>
      <c r="I370" s="80"/>
      <c r="J370" s="77"/>
      <c r="K370" s="81" t="b">
        <v>0</v>
      </c>
      <c r="L370" s="78"/>
      <c r="M370" s="82"/>
      <c r="N370" s="78"/>
      <c r="O370" s="78"/>
      <c r="P370" s="78"/>
      <c r="Q370" s="78"/>
      <c r="R370" s="78"/>
      <c r="S370" s="78"/>
      <c r="T370" s="83"/>
    </row>
    <row r="371" spans="1:20" ht="15" customHeight="1" x14ac:dyDescent="0.3">
      <c r="A371" s="73"/>
      <c r="B371" s="74"/>
      <c r="C371" s="75"/>
      <c r="D371" s="76"/>
      <c r="E371" s="77"/>
      <c r="F371" s="78"/>
      <c r="G371" s="78"/>
      <c r="H371" s="79"/>
      <c r="I371" s="80"/>
      <c r="J371" s="77"/>
      <c r="K371" s="81" t="b">
        <v>0</v>
      </c>
      <c r="L371" s="78"/>
      <c r="M371" s="82"/>
      <c r="N371" s="78"/>
      <c r="O371" s="78"/>
      <c r="P371" s="78"/>
      <c r="Q371" s="78"/>
      <c r="R371" s="78"/>
      <c r="S371" s="78"/>
      <c r="T371" s="83"/>
    </row>
    <row r="372" spans="1:20" ht="15" customHeight="1" x14ac:dyDescent="0.3">
      <c r="A372" s="73"/>
      <c r="B372" s="74"/>
      <c r="C372" s="75"/>
      <c r="D372" s="76"/>
      <c r="E372" s="77"/>
      <c r="F372" s="78"/>
      <c r="G372" s="78"/>
      <c r="H372" s="79"/>
      <c r="I372" s="80"/>
      <c r="J372" s="77"/>
      <c r="K372" s="81" t="b">
        <v>0</v>
      </c>
      <c r="L372" s="78"/>
      <c r="M372" s="82"/>
      <c r="N372" s="78"/>
      <c r="O372" s="78"/>
      <c r="P372" s="78"/>
      <c r="Q372" s="78"/>
      <c r="R372" s="78"/>
      <c r="S372" s="78"/>
      <c r="T372" s="83"/>
    </row>
    <row r="373" spans="1:20" ht="15" customHeight="1" x14ac:dyDescent="0.3">
      <c r="A373" s="73"/>
      <c r="B373" s="74"/>
      <c r="C373" s="75"/>
      <c r="D373" s="76"/>
      <c r="E373" s="77"/>
      <c r="F373" s="78"/>
      <c r="G373" s="78"/>
      <c r="H373" s="79"/>
      <c r="I373" s="80"/>
      <c r="J373" s="77"/>
      <c r="K373" s="81" t="b">
        <v>0</v>
      </c>
      <c r="L373" s="78"/>
      <c r="M373" s="82"/>
      <c r="N373" s="78"/>
      <c r="O373" s="78"/>
      <c r="P373" s="78"/>
      <c r="Q373" s="78"/>
      <c r="R373" s="78"/>
      <c r="S373" s="78"/>
      <c r="T373" s="83"/>
    </row>
    <row r="374" spans="1:20" ht="15" customHeight="1" x14ac:dyDescent="0.3">
      <c r="A374" s="73"/>
      <c r="B374" s="74"/>
      <c r="C374" s="75"/>
      <c r="D374" s="76"/>
      <c r="E374" s="77"/>
      <c r="F374" s="78"/>
      <c r="G374" s="78"/>
      <c r="H374" s="79"/>
      <c r="I374" s="80"/>
      <c r="J374" s="77"/>
      <c r="K374" s="81" t="b">
        <v>0</v>
      </c>
      <c r="L374" s="78"/>
      <c r="M374" s="82"/>
      <c r="N374" s="78"/>
      <c r="O374" s="78"/>
      <c r="P374" s="78"/>
      <c r="Q374" s="78"/>
      <c r="R374" s="78"/>
      <c r="S374" s="78"/>
      <c r="T374" s="83"/>
    </row>
    <row r="375" spans="1:20" ht="15" customHeight="1" x14ac:dyDescent="0.3">
      <c r="A375" s="73"/>
      <c r="B375" s="74"/>
      <c r="C375" s="75"/>
      <c r="D375" s="76"/>
      <c r="E375" s="77"/>
      <c r="F375" s="78"/>
      <c r="G375" s="78"/>
      <c r="H375" s="79"/>
      <c r="I375" s="80"/>
      <c r="J375" s="77"/>
      <c r="K375" s="81" t="b">
        <v>0</v>
      </c>
      <c r="L375" s="78"/>
      <c r="M375" s="82"/>
      <c r="N375" s="78"/>
      <c r="O375" s="78"/>
      <c r="P375" s="78"/>
      <c r="Q375" s="78"/>
      <c r="R375" s="78"/>
      <c r="S375" s="78"/>
      <c r="T375" s="83"/>
    </row>
    <row r="376" spans="1:20" ht="15" customHeight="1" x14ac:dyDescent="0.3">
      <c r="A376" s="73"/>
      <c r="B376" s="74"/>
      <c r="C376" s="75"/>
      <c r="D376" s="76"/>
      <c r="E376" s="77"/>
      <c r="F376" s="78"/>
      <c r="G376" s="78"/>
      <c r="H376" s="79"/>
      <c r="I376" s="80"/>
      <c r="J376" s="77"/>
      <c r="K376" s="81" t="b">
        <v>0</v>
      </c>
      <c r="L376" s="78"/>
      <c r="M376" s="82"/>
      <c r="N376" s="78"/>
      <c r="O376" s="78"/>
      <c r="P376" s="78"/>
      <c r="Q376" s="78"/>
      <c r="R376" s="78"/>
      <c r="S376" s="78"/>
      <c r="T376" s="83"/>
    </row>
    <row r="377" spans="1:20" ht="15" customHeight="1" x14ac:dyDescent="0.3">
      <c r="A377" s="73"/>
      <c r="B377" s="74"/>
      <c r="C377" s="75"/>
      <c r="D377" s="76"/>
      <c r="E377" s="77"/>
      <c r="F377" s="78"/>
      <c r="G377" s="78"/>
      <c r="H377" s="79"/>
      <c r="I377" s="80"/>
      <c r="J377" s="77"/>
      <c r="K377" s="81" t="b">
        <v>0</v>
      </c>
      <c r="L377" s="78"/>
      <c r="M377" s="82"/>
      <c r="N377" s="78"/>
      <c r="O377" s="78"/>
      <c r="P377" s="78"/>
      <c r="Q377" s="78"/>
      <c r="R377" s="78"/>
      <c r="S377" s="78"/>
      <c r="T377" s="83"/>
    </row>
    <row r="378" spans="1:20" ht="15" customHeight="1" x14ac:dyDescent="0.3">
      <c r="A378" s="73"/>
      <c r="B378" s="74"/>
      <c r="C378" s="75"/>
      <c r="D378" s="76"/>
      <c r="E378" s="77"/>
      <c r="F378" s="78"/>
      <c r="G378" s="78"/>
      <c r="H378" s="79"/>
      <c r="I378" s="80"/>
      <c r="J378" s="77"/>
      <c r="K378" s="81" t="b">
        <v>0</v>
      </c>
      <c r="L378" s="78"/>
      <c r="M378" s="82"/>
      <c r="N378" s="78"/>
      <c r="O378" s="78"/>
      <c r="P378" s="78"/>
      <c r="Q378" s="78"/>
      <c r="R378" s="78"/>
      <c r="S378" s="78"/>
      <c r="T378" s="83"/>
    </row>
    <row r="379" spans="1:20" ht="15" customHeight="1" x14ac:dyDescent="0.3">
      <c r="A379" s="73"/>
      <c r="B379" s="74"/>
      <c r="C379" s="75"/>
      <c r="D379" s="76"/>
      <c r="E379" s="77"/>
      <c r="F379" s="78"/>
      <c r="G379" s="78"/>
      <c r="H379" s="79"/>
      <c r="I379" s="80"/>
      <c r="J379" s="77"/>
      <c r="K379" s="81" t="b">
        <v>0</v>
      </c>
      <c r="L379" s="78"/>
      <c r="M379" s="82"/>
      <c r="N379" s="78"/>
      <c r="O379" s="78"/>
      <c r="P379" s="78"/>
      <c r="Q379" s="78"/>
      <c r="R379" s="78"/>
      <c r="S379" s="78"/>
      <c r="T379" s="83"/>
    </row>
    <row r="380" spans="1:20" ht="15" customHeight="1" x14ac:dyDescent="0.3">
      <c r="A380" s="73"/>
      <c r="B380" s="74"/>
      <c r="C380" s="75"/>
      <c r="D380" s="76"/>
      <c r="E380" s="77"/>
      <c r="F380" s="78"/>
      <c r="G380" s="78"/>
      <c r="H380" s="79"/>
      <c r="I380" s="80"/>
      <c r="J380" s="77"/>
      <c r="K380" s="81" t="b">
        <v>0</v>
      </c>
      <c r="L380" s="78"/>
      <c r="M380" s="82"/>
      <c r="N380" s="78"/>
      <c r="O380" s="78"/>
      <c r="P380" s="78"/>
      <c r="Q380" s="78"/>
      <c r="R380" s="78"/>
      <c r="S380" s="78"/>
      <c r="T380" s="83"/>
    </row>
    <row r="381" spans="1:20" ht="15" customHeight="1" x14ac:dyDescent="0.3">
      <c r="A381" s="73"/>
      <c r="B381" s="74"/>
      <c r="C381" s="75"/>
      <c r="D381" s="76"/>
      <c r="E381" s="77"/>
      <c r="F381" s="78"/>
      <c r="G381" s="78"/>
      <c r="H381" s="79"/>
      <c r="I381" s="80"/>
      <c r="J381" s="77"/>
      <c r="K381" s="81" t="b">
        <v>0</v>
      </c>
      <c r="L381" s="78"/>
      <c r="M381" s="82"/>
      <c r="N381" s="78"/>
      <c r="O381" s="78"/>
      <c r="P381" s="78"/>
      <c r="Q381" s="78"/>
      <c r="R381" s="78"/>
      <c r="S381" s="78"/>
      <c r="T381" s="83"/>
    </row>
    <row r="382" spans="1:20" ht="15" customHeight="1" x14ac:dyDescent="0.3">
      <c r="A382" s="73"/>
      <c r="B382" s="74"/>
      <c r="C382" s="75"/>
      <c r="D382" s="76"/>
      <c r="E382" s="77"/>
      <c r="F382" s="78"/>
      <c r="G382" s="78"/>
      <c r="H382" s="79"/>
      <c r="I382" s="80"/>
      <c r="J382" s="77"/>
      <c r="K382" s="81" t="b">
        <v>0</v>
      </c>
      <c r="L382" s="78"/>
      <c r="M382" s="82"/>
      <c r="N382" s="78"/>
      <c r="O382" s="78"/>
      <c r="P382" s="78"/>
      <c r="Q382" s="78"/>
      <c r="R382" s="78"/>
      <c r="S382" s="78"/>
      <c r="T382" s="83"/>
    </row>
    <row r="383" spans="1:20" ht="15" customHeight="1" x14ac:dyDescent="0.3">
      <c r="A383" s="73"/>
      <c r="B383" s="74"/>
      <c r="C383" s="75"/>
      <c r="D383" s="76"/>
      <c r="E383" s="77"/>
      <c r="F383" s="78"/>
      <c r="G383" s="78"/>
      <c r="H383" s="79"/>
      <c r="I383" s="80"/>
      <c r="J383" s="77"/>
      <c r="K383" s="81" t="b">
        <v>0</v>
      </c>
      <c r="L383" s="78"/>
      <c r="M383" s="82"/>
      <c r="N383" s="78"/>
      <c r="O383" s="78"/>
      <c r="P383" s="78"/>
      <c r="Q383" s="78"/>
      <c r="R383" s="78"/>
      <c r="S383" s="78"/>
      <c r="T383" s="83"/>
    </row>
    <row r="384" spans="1:20" ht="15" customHeight="1" x14ac:dyDescent="0.3">
      <c r="A384" s="73"/>
      <c r="B384" s="74"/>
      <c r="C384" s="75"/>
      <c r="D384" s="76"/>
      <c r="E384" s="77"/>
      <c r="F384" s="78"/>
      <c r="G384" s="78"/>
      <c r="H384" s="79"/>
      <c r="I384" s="80"/>
      <c r="J384" s="77"/>
      <c r="K384" s="81" t="b">
        <v>0</v>
      </c>
      <c r="L384" s="78"/>
      <c r="M384" s="82"/>
      <c r="N384" s="78"/>
      <c r="O384" s="78"/>
      <c r="P384" s="78"/>
      <c r="Q384" s="78"/>
      <c r="R384" s="78"/>
      <c r="S384" s="78"/>
      <c r="T384" s="83"/>
    </row>
    <row r="385" spans="1:20" ht="15" customHeight="1" x14ac:dyDescent="0.3">
      <c r="A385" s="73"/>
      <c r="B385" s="74"/>
      <c r="C385" s="75"/>
      <c r="D385" s="76"/>
      <c r="E385" s="77"/>
      <c r="F385" s="78"/>
      <c r="G385" s="78"/>
      <c r="H385" s="79"/>
      <c r="I385" s="80"/>
      <c r="J385" s="77"/>
      <c r="K385" s="81" t="b">
        <v>0</v>
      </c>
      <c r="L385" s="78"/>
      <c r="M385" s="82"/>
      <c r="N385" s="78"/>
      <c r="O385" s="78"/>
      <c r="P385" s="78"/>
      <c r="Q385" s="78"/>
      <c r="R385" s="78"/>
      <c r="S385" s="78"/>
      <c r="T385" s="83"/>
    </row>
    <row r="386" spans="1:20" ht="15" customHeight="1" x14ac:dyDescent="0.3">
      <c r="A386" s="73"/>
      <c r="B386" s="74"/>
      <c r="C386" s="75"/>
      <c r="D386" s="76"/>
      <c r="E386" s="77"/>
      <c r="F386" s="78"/>
      <c r="G386" s="78"/>
      <c r="H386" s="79"/>
      <c r="I386" s="80"/>
      <c r="J386" s="77"/>
      <c r="K386" s="81" t="b">
        <v>0</v>
      </c>
      <c r="L386" s="78"/>
      <c r="M386" s="82"/>
      <c r="N386" s="78"/>
      <c r="O386" s="78"/>
      <c r="P386" s="78"/>
      <c r="Q386" s="78"/>
      <c r="R386" s="78"/>
      <c r="S386" s="78"/>
      <c r="T386" s="83"/>
    </row>
    <row r="387" spans="1:20" ht="15" customHeight="1" x14ac:dyDescent="0.3">
      <c r="A387" s="73"/>
      <c r="B387" s="74"/>
      <c r="C387" s="75"/>
      <c r="D387" s="76"/>
      <c r="E387" s="77"/>
      <c r="F387" s="78"/>
      <c r="G387" s="78"/>
      <c r="H387" s="79"/>
      <c r="I387" s="80"/>
      <c r="J387" s="77"/>
      <c r="K387" s="81" t="b">
        <v>0</v>
      </c>
      <c r="L387" s="78"/>
      <c r="M387" s="82"/>
      <c r="N387" s="78"/>
      <c r="O387" s="78"/>
      <c r="P387" s="78"/>
      <c r="Q387" s="78"/>
      <c r="R387" s="78"/>
      <c r="S387" s="78"/>
      <c r="T387" s="83"/>
    </row>
    <row r="388" spans="1:20" ht="15" customHeight="1" x14ac:dyDescent="0.3">
      <c r="A388" s="73"/>
      <c r="B388" s="74"/>
      <c r="C388" s="75"/>
      <c r="D388" s="76"/>
      <c r="E388" s="77"/>
      <c r="F388" s="78"/>
      <c r="G388" s="78"/>
      <c r="H388" s="79"/>
      <c r="I388" s="80"/>
      <c r="J388" s="77"/>
      <c r="K388" s="81" t="b">
        <v>0</v>
      </c>
      <c r="L388" s="78"/>
      <c r="M388" s="82"/>
      <c r="N388" s="78"/>
      <c r="O388" s="78"/>
      <c r="P388" s="78"/>
      <c r="Q388" s="78"/>
      <c r="R388" s="78"/>
      <c r="S388" s="78"/>
      <c r="T388" s="83"/>
    </row>
    <row r="389" spans="1:20" ht="15" customHeight="1" x14ac:dyDescent="0.3">
      <c r="A389" s="73"/>
      <c r="B389" s="74"/>
      <c r="C389" s="75"/>
      <c r="D389" s="76"/>
      <c r="E389" s="77"/>
      <c r="F389" s="78"/>
      <c r="G389" s="78"/>
      <c r="H389" s="79"/>
      <c r="I389" s="80"/>
      <c r="J389" s="77"/>
      <c r="K389" s="81" t="b">
        <v>0</v>
      </c>
      <c r="L389" s="78"/>
      <c r="M389" s="82"/>
      <c r="N389" s="78"/>
      <c r="O389" s="78"/>
      <c r="P389" s="78"/>
      <c r="Q389" s="78"/>
      <c r="R389" s="78"/>
      <c r="S389" s="78"/>
      <c r="T389" s="83"/>
    </row>
    <row r="390" spans="1:20" ht="15" customHeight="1" x14ac:dyDescent="0.3">
      <c r="A390" s="73"/>
      <c r="B390" s="74"/>
      <c r="C390" s="75"/>
      <c r="D390" s="76"/>
      <c r="E390" s="77"/>
      <c r="F390" s="78"/>
      <c r="G390" s="78"/>
      <c r="H390" s="79"/>
      <c r="I390" s="80"/>
      <c r="J390" s="77"/>
      <c r="K390" s="81" t="b">
        <v>0</v>
      </c>
      <c r="L390" s="78"/>
      <c r="M390" s="82"/>
      <c r="N390" s="78"/>
      <c r="O390" s="78"/>
      <c r="P390" s="78"/>
      <c r="Q390" s="78"/>
      <c r="R390" s="78"/>
      <c r="S390" s="78"/>
      <c r="T390" s="83"/>
    </row>
    <row r="391" spans="1:20" ht="15" customHeight="1" x14ac:dyDescent="0.3">
      <c r="A391" s="73"/>
      <c r="B391" s="74"/>
      <c r="C391" s="75"/>
      <c r="D391" s="76"/>
      <c r="E391" s="77"/>
      <c r="F391" s="78"/>
      <c r="G391" s="78"/>
      <c r="H391" s="79"/>
      <c r="I391" s="80"/>
      <c r="J391" s="77"/>
      <c r="K391" s="81" t="b">
        <v>0</v>
      </c>
      <c r="L391" s="78"/>
      <c r="M391" s="82"/>
      <c r="N391" s="78"/>
      <c r="O391" s="78"/>
      <c r="P391" s="78"/>
      <c r="Q391" s="78"/>
      <c r="R391" s="78"/>
      <c r="S391" s="78"/>
      <c r="T391" s="83"/>
    </row>
    <row r="392" spans="1:20" ht="15" customHeight="1" x14ac:dyDescent="0.3">
      <c r="A392" s="73"/>
      <c r="B392" s="74"/>
      <c r="C392" s="75"/>
      <c r="D392" s="76"/>
      <c r="E392" s="77"/>
      <c r="F392" s="78"/>
      <c r="G392" s="78"/>
      <c r="H392" s="79"/>
      <c r="I392" s="80"/>
      <c r="J392" s="77"/>
      <c r="K392" s="81" t="b">
        <v>0</v>
      </c>
      <c r="L392" s="78"/>
      <c r="M392" s="82"/>
      <c r="N392" s="78"/>
      <c r="O392" s="78"/>
      <c r="P392" s="78"/>
      <c r="Q392" s="78"/>
      <c r="R392" s="78"/>
      <c r="S392" s="78"/>
      <c r="T392" s="83"/>
    </row>
    <row r="393" spans="1:20" ht="15" customHeight="1" x14ac:dyDescent="0.3">
      <c r="A393" s="73"/>
      <c r="B393" s="74"/>
      <c r="C393" s="75"/>
      <c r="D393" s="76"/>
      <c r="E393" s="77"/>
      <c r="F393" s="78"/>
      <c r="G393" s="78"/>
      <c r="H393" s="79"/>
      <c r="I393" s="80"/>
      <c r="J393" s="77"/>
      <c r="K393" s="81" t="b">
        <v>0</v>
      </c>
      <c r="L393" s="78"/>
      <c r="M393" s="82"/>
      <c r="N393" s="78"/>
      <c r="O393" s="78"/>
      <c r="P393" s="78"/>
      <c r="Q393" s="78"/>
      <c r="R393" s="78"/>
      <c r="S393" s="78"/>
      <c r="T393" s="83"/>
    </row>
    <row r="394" spans="1:20" ht="15" customHeight="1" x14ac:dyDescent="0.3">
      <c r="A394" s="73"/>
      <c r="B394" s="74"/>
      <c r="C394" s="75"/>
      <c r="D394" s="76"/>
      <c r="E394" s="77"/>
      <c r="F394" s="78"/>
      <c r="G394" s="78"/>
      <c r="H394" s="79"/>
      <c r="I394" s="80"/>
      <c r="J394" s="77"/>
      <c r="K394" s="81" t="b">
        <v>0</v>
      </c>
      <c r="L394" s="78"/>
      <c r="M394" s="82"/>
      <c r="N394" s="78"/>
      <c r="O394" s="78"/>
      <c r="P394" s="78"/>
      <c r="Q394" s="78"/>
      <c r="R394" s="78"/>
      <c r="S394" s="78"/>
      <c r="T394" s="83"/>
    </row>
    <row r="395" spans="1:20" ht="15" customHeight="1" x14ac:dyDescent="0.3">
      <c r="A395" s="73"/>
      <c r="B395" s="74"/>
      <c r="C395" s="75"/>
      <c r="D395" s="76"/>
      <c r="E395" s="77"/>
      <c r="F395" s="78"/>
      <c r="G395" s="78"/>
      <c r="H395" s="79"/>
      <c r="I395" s="80"/>
      <c r="J395" s="77"/>
      <c r="K395" s="81" t="b">
        <v>0</v>
      </c>
      <c r="L395" s="78"/>
      <c r="M395" s="82"/>
      <c r="N395" s="78"/>
      <c r="O395" s="78"/>
      <c r="P395" s="78"/>
      <c r="Q395" s="78"/>
      <c r="R395" s="78"/>
      <c r="S395" s="78"/>
      <c r="T395" s="83"/>
    </row>
    <row r="396" spans="1:20" ht="15" customHeight="1" x14ac:dyDescent="0.3">
      <c r="A396" s="73"/>
      <c r="B396" s="74"/>
      <c r="C396" s="75"/>
      <c r="D396" s="76"/>
      <c r="E396" s="77"/>
      <c r="F396" s="78"/>
      <c r="G396" s="78"/>
      <c r="H396" s="79"/>
      <c r="I396" s="80"/>
      <c r="J396" s="77"/>
      <c r="K396" s="81" t="b">
        <v>0</v>
      </c>
      <c r="L396" s="78"/>
      <c r="M396" s="82"/>
      <c r="N396" s="78"/>
      <c r="O396" s="78"/>
      <c r="P396" s="78"/>
      <c r="Q396" s="78"/>
      <c r="R396" s="78"/>
      <c r="S396" s="78"/>
      <c r="T396" s="83"/>
    </row>
    <row r="397" spans="1:20" ht="15" customHeight="1" x14ac:dyDescent="0.3">
      <c r="A397" s="73"/>
      <c r="B397" s="74"/>
      <c r="C397" s="75"/>
      <c r="D397" s="76"/>
      <c r="E397" s="77"/>
      <c r="F397" s="78"/>
      <c r="G397" s="78"/>
      <c r="H397" s="79"/>
      <c r="I397" s="80"/>
      <c r="J397" s="77"/>
      <c r="K397" s="81" t="b">
        <v>0</v>
      </c>
      <c r="L397" s="78"/>
      <c r="M397" s="82"/>
      <c r="N397" s="78"/>
      <c r="O397" s="78"/>
      <c r="P397" s="78"/>
      <c r="Q397" s="78"/>
      <c r="R397" s="78"/>
      <c r="S397" s="78"/>
      <c r="T397" s="83"/>
    </row>
    <row r="398" spans="1:20" ht="15" customHeight="1" x14ac:dyDescent="0.3">
      <c r="A398" s="73"/>
      <c r="B398" s="74"/>
      <c r="C398" s="75"/>
      <c r="D398" s="76"/>
      <c r="E398" s="77"/>
      <c r="F398" s="78"/>
      <c r="G398" s="78"/>
      <c r="H398" s="79"/>
      <c r="I398" s="80"/>
      <c r="J398" s="77"/>
      <c r="K398" s="81" t="b">
        <v>0</v>
      </c>
      <c r="L398" s="78"/>
      <c r="M398" s="82"/>
      <c r="N398" s="78"/>
      <c r="O398" s="78"/>
      <c r="P398" s="78"/>
      <c r="Q398" s="78"/>
      <c r="R398" s="78"/>
      <c r="S398" s="78"/>
      <c r="T398" s="83"/>
    </row>
    <row r="399" spans="1:20" ht="15" customHeight="1" x14ac:dyDescent="0.3">
      <c r="A399" s="73"/>
      <c r="B399" s="74"/>
      <c r="C399" s="75"/>
      <c r="D399" s="76"/>
      <c r="E399" s="77"/>
      <c r="F399" s="78"/>
      <c r="G399" s="78"/>
      <c r="H399" s="79"/>
      <c r="I399" s="80"/>
      <c r="J399" s="77"/>
      <c r="K399" s="81" t="b">
        <v>0</v>
      </c>
      <c r="L399" s="78"/>
      <c r="M399" s="82"/>
      <c r="N399" s="78"/>
      <c r="O399" s="78"/>
      <c r="P399" s="78"/>
      <c r="Q399" s="78"/>
      <c r="R399" s="78"/>
      <c r="S399" s="78"/>
      <c r="T399" s="83"/>
    </row>
    <row r="400" spans="1:20" ht="15" customHeight="1" x14ac:dyDescent="0.3">
      <c r="A400" s="73"/>
      <c r="B400" s="74"/>
      <c r="C400" s="75"/>
      <c r="D400" s="76"/>
      <c r="E400" s="77"/>
      <c r="F400" s="78"/>
      <c r="G400" s="78"/>
      <c r="H400" s="79"/>
      <c r="I400" s="80"/>
      <c r="J400" s="77"/>
      <c r="K400" s="81" t="b">
        <v>0</v>
      </c>
      <c r="L400" s="78"/>
      <c r="M400" s="82"/>
      <c r="N400" s="78"/>
      <c r="O400" s="78"/>
      <c r="P400" s="78"/>
      <c r="Q400" s="78"/>
      <c r="R400" s="78"/>
      <c r="S400" s="78"/>
      <c r="T400" s="83"/>
    </row>
    <row r="401" spans="1:20" ht="15" customHeight="1" x14ac:dyDescent="0.3">
      <c r="A401" s="73"/>
      <c r="B401" s="74"/>
      <c r="C401" s="75"/>
      <c r="D401" s="76"/>
      <c r="E401" s="77"/>
      <c r="F401" s="78"/>
      <c r="G401" s="78"/>
      <c r="H401" s="79"/>
      <c r="I401" s="80"/>
      <c r="J401" s="77"/>
      <c r="K401" s="81" t="b">
        <v>0</v>
      </c>
      <c r="L401" s="78"/>
      <c r="M401" s="82"/>
      <c r="N401" s="78"/>
      <c r="O401" s="78"/>
      <c r="P401" s="78"/>
      <c r="Q401" s="78"/>
      <c r="R401" s="78"/>
      <c r="S401" s="78"/>
      <c r="T401" s="83"/>
    </row>
    <row r="402" spans="1:20" ht="15" customHeight="1" x14ac:dyDescent="0.3">
      <c r="A402" s="73"/>
      <c r="B402" s="74"/>
      <c r="C402" s="75"/>
      <c r="D402" s="76"/>
      <c r="E402" s="77"/>
      <c r="F402" s="78"/>
      <c r="G402" s="78"/>
      <c r="H402" s="79"/>
      <c r="I402" s="80"/>
      <c r="J402" s="77"/>
      <c r="K402" s="81" t="b">
        <v>0</v>
      </c>
      <c r="L402" s="78"/>
      <c r="M402" s="82"/>
      <c r="N402" s="78"/>
      <c r="O402" s="78"/>
      <c r="P402" s="78"/>
      <c r="Q402" s="78"/>
      <c r="R402" s="78"/>
      <c r="S402" s="78"/>
      <c r="T402" s="83"/>
    </row>
    <row r="403" spans="1:20" ht="15" customHeight="1" x14ac:dyDescent="0.3">
      <c r="A403" s="73"/>
      <c r="B403" s="74"/>
      <c r="C403" s="75"/>
      <c r="D403" s="76"/>
      <c r="E403" s="77"/>
      <c r="F403" s="78"/>
      <c r="G403" s="78"/>
      <c r="H403" s="79"/>
      <c r="I403" s="80"/>
      <c r="J403" s="77"/>
      <c r="K403" s="81" t="b">
        <v>0</v>
      </c>
      <c r="L403" s="78"/>
      <c r="M403" s="82"/>
      <c r="N403" s="78"/>
      <c r="O403" s="78"/>
      <c r="P403" s="78"/>
      <c r="Q403" s="78"/>
      <c r="R403" s="78"/>
      <c r="S403" s="78"/>
      <c r="T403" s="83"/>
    </row>
    <row r="404" spans="1:20" ht="15" customHeight="1" x14ac:dyDescent="0.3">
      <c r="A404" s="73"/>
      <c r="B404" s="74"/>
      <c r="C404" s="75"/>
      <c r="D404" s="76"/>
      <c r="E404" s="77"/>
      <c r="F404" s="78"/>
      <c r="G404" s="78"/>
      <c r="H404" s="79"/>
      <c r="I404" s="80"/>
      <c r="J404" s="77"/>
      <c r="K404" s="81" t="b">
        <v>0</v>
      </c>
      <c r="L404" s="78"/>
      <c r="M404" s="82"/>
      <c r="N404" s="78"/>
      <c r="O404" s="78"/>
      <c r="P404" s="78"/>
      <c r="Q404" s="78"/>
      <c r="R404" s="78"/>
      <c r="S404" s="78"/>
      <c r="T404" s="83"/>
    </row>
    <row r="405" spans="1:20" ht="15" customHeight="1" x14ac:dyDescent="0.3">
      <c r="A405" s="73"/>
      <c r="B405" s="74"/>
      <c r="C405" s="75"/>
      <c r="D405" s="76"/>
      <c r="E405" s="77"/>
      <c r="F405" s="78"/>
      <c r="G405" s="78"/>
      <c r="H405" s="79"/>
      <c r="I405" s="80"/>
      <c r="J405" s="77"/>
      <c r="K405" s="81" t="b">
        <v>0</v>
      </c>
      <c r="L405" s="78"/>
      <c r="M405" s="82"/>
      <c r="N405" s="78"/>
      <c r="O405" s="78"/>
      <c r="P405" s="78"/>
      <c r="Q405" s="78"/>
      <c r="R405" s="78"/>
      <c r="S405" s="78"/>
      <c r="T405" s="83"/>
    </row>
    <row r="406" spans="1:20" ht="15" customHeight="1" x14ac:dyDescent="0.3">
      <c r="A406" s="73"/>
      <c r="B406" s="74"/>
      <c r="C406" s="75"/>
      <c r="D406" s="76"/>
      <c r="E406" s="77"/>
      <c r="F406" s="78"/>
      <c r="G406" s="78"/>
      <c r="H406" s="79"/>
      <c r="I406" s="80"/>
      <c r="J406" s="77"/>
      <c r="K406" s="81" t="b">
        <v>0</v>
      </c>
      <c r="L406" s="78"/>
      <c r="M406" s="82"/>
      <c r="N406" s="78"/>
      <c r="O406" s="78"/>
      <c r="P406" s="78"/>
      <c r="Q406" s="78"/>
      <c r="R406" s="78"/>
      <c r="S406" s="78"/>
      <c r="T406" s="83"/>
    </row>
    <row r="407" spans="1:20" ht="15" customHeight="1" x14ac:dyDescent="0.3">
      <c r="A407" s="73"/>
      <c r="B407" s="74"/>
      <c r="C407" s="75"/>
      <c r="D407" s="76"/>
      <c r="E407" s="77"/>
      <c r="F407" s="78"/>
      <c r="G407" s="78"/>
      <c r="H407" s="79"/>
      <c r="I407" s="80"/>
      <c r="J407" s="77"/>
      <c r="K407" s="81" t="b">
        <v>0</v>
      </c>
      <c r="L407" s="78"/>
      <c r="M407" s="82"/>
      <c r="N407" s="78"/>
      <c r="O407" s="78"/>
      <c r="P407" s="78"/>
      <c r="Q407" s="78"/>
      <c r="R407" s="78"/>
      <c r="S407" s="78"/>
      <c r="T407" s="83"/>
    </row>
    <row r="408" spans="1:20" ht="15" customHeight="1" x14ac:dyDescent="0.3">
      <c r="A408" s="73"/>
      <c r="B408" s="74"/>
      <c r="C408" s="75"/>
      <c r="D408" s="76"/>
      <c r="E408" s="77"/>
      <c r="F408" s="78"/>
      <c r="G408" s="78"/>
      <c r="H408" s="79"/>
      <c r="I408" s="80"/>
      <c r="J408" s="77"/>
      <c r="K408" s="81" t="b">
        <v>0</v>
      </c>
      <c r="L408" s="78"/>
      <c r="M408" s="82"/>
      <c r="N408" s="78"/>
      <c r="O408" s="78"/>
      <c r="P408" s="78"/>
      <c r="Q408" s="78"/>
      <c r="R408" s="78"/>
      <c r="S408" s="78"/>
      <c r="T408" s="83"/>
    </row>
    <row r="409" spans="1:20" ht="15" customHeight="1" x14ac:dyDescent="0.3">
      <c r="A409" s="73"/>
      <c r="B409" s="74"/>
      <c r="C409" s="75"/>
      <c r="D409" s="76"/>
      <c r="E409" s="77"/>
      <c r="F409" s="78"/>
      <c r="G409" s="78"/>
      <c r="H409" s="79"/>
      <c r="I409" s="80"/>
      <c r="J409" s="77"/>
      <c r="K409" s="81" t="b">
        <v>0</v>
      </c>
      <c r="L409" s="78"/>
      <c r="M409" s="82"/>
      <c r="N409" s="78"/>
      <c r="O409" s="78"/>
      <c r="P409" s="78"/>
      <c r="Q409" s="78"/>
      <c r="R409" s="78"/>
      <c r="S409" s="78"/>
      <c r="T409" s="83"/>
    </row>
    <row r="410" spans="1:20" ht="15" customHeight="1" x14ac:dyDescent="0.3">
      <c r="A410" s="73"/>
      <c r="B410" s="74"/>
      <c r="C410" s="75"/>
      <c r="D410" s="76"/>
      <c r="E410" s="77"/>
      <c r="F410" s="78"/>
      <c r="G410" s="78"/>
      <c r="H410" s="79"/>
      <c r="I410" s="80"/>
      <c r="J410" s="77"/>
      <c r="K410" s="81" t="b">
        <v>0</v>
      </c>
      <c r="L410" s="78"/>
      <c r="M410" s="82"/>
      <c r="N410" s="78"/>
      <c r="O410" s="78"/>
      <c r="P410" s="78"/>
      <c r="Q410" s="78"/>
      <c r="R410" s="78"/>
      <c r="S410" s="78"/>
      <c r="T410" s="83"/>
    </row>
    <row r="411" spans="1:20" ht="15" customHeight="1" x14ac:dyDescent="0.3">
      <c r="A411" s="73"/>
      <c r="B411" s="74"/>
      <c r="C411" s="75"/>
      <c r="D411" s="76"/>
      <c r="E411" s="77"/>
      <c r="F411" s="78"/>
      <c r="G411" s="78"/>
      <c r="H411" s="79"/>
      <c r="I411" s="80"/>
      <c r="J411" s="77"/>
      <c r="K411" s="81" t="b">
        <v>0</v>
      </c>
      <c r="L411" s="78"/>
      <c r="M411" s="82"/>
      <c r="N411" s="78"/>
      <c r="O411" s="78"/>
      <c r="P411" s="78"/>
      <c r="Q411" s="78"/>
      <c r="R411" s="78"/>
      <c r="S411" s="78"/>
      <c r="T411" s="83"/>
    </row>
    <row r="412" spans="1:20" ht="15" customHeight="1" x14ac:dyDescent="0.3">
      <c r="A412" s="73"/>
      <c r="B412" s="74"/>
      <c r="C412" s="75"/>
      <c r="D412" s="76"/>
      <c r="E412" s="77"/>
      <c r="F412" s="78"/>
      <c r="G412" s="78"/>
      <c r="H412" s="79"/>
      <c r="I412" s="80"/>
      <c r="J412" s="77"/>
      <c r="K412" s="81" t="b">
        <v>0</v>
      </c>
      <c r="L412" s="78"/>
      <c r="M412" s="82"/>
      <c r="N412" s="78"/>
      <c r="O412" s="78"/>
      <c r="P412" s="78"/>
      <c r="Q412" s="78"/>
      <c r="R412" s="78"/>
      <c r="S412" s="78"/>
      <c r="T412" s="83"/>
    </row>
    <row r="413" spans="1:20" ht="15" customHeight="1" x14ac:dyDescent="0.3">
      <c r="A413" s="73"/>
      <c r="B413" s="74"/>
      <c r="C413" s="75"/>
      <c r="D413" s="76"/>
      <c r="E413" s="77"/>
      <c r="F413" s="78"/>
      <c r="G413" s="78"/>
      <c r="H413" s="79"/>
      <c r="I413" s="80"/>
      <c r="J413" s="77"/>
      <c r="K413" s="81" t="b">
        <v>0</v>
      </c>
      <c r="L413" s="78"/>
      <c r="M413" s="82"/>
      <c r="N413" s="78"/>
      <c r="O413" s="78"/>
      <c r="P413" s="78"/>
      <c r="Q413" s="78"/>
      <c r="R413" s="78"/>
      <c r="S413" s="78"/>
      <c r="T413" s="83"/>
    </row>
    <row r="414" spans="1:20" ht="15" customHeight="1" x14ac:dyDescent="0.3">
      <c r="A414" s="73"/>
      <c r="B414" s="74"/>
      <c r="C414" s="75"/>
      <c r="D414" s="76"/>
      <c r="E414" s="77"/>
      <c r="F414" s="78"/>
      <c r="G414" s="78"/>
      <c r="H414" s="79"/>
      <c r="I414" s="80"/>
      <c r="J414" s="77"/>
      <c r="K414" s="81" t="b">
        <v>0</v>
      </c>
      <c r="L414" s="78"/>
      <c r="M414" s="82"/>
      <c r="N414" s="78"/>
      <c r="O414" s="78"/>
      <c r="P414" s="78"/>
      <c r="Q414" s="78"/>
      <c r="R414" s="78"/>
      <c r="S414" s="78"/>
      <c r="T414" s="83"/>
    </row>
    <row r="415" spans="1:20" ht="15" customHeight="1" x14ac:dyDescent="0.3">
      <c r="A415" s="73"/>
      <c r="B415" s="74"/>
      <c r="C415" s="75"/>
      <c r="D415" s="76"/>
      <c r="E415" s="77"/>
      <c r="F415" s="78"/>
      <c r="G415" s="78"/>
      <c r="H415" s="79"/>
      <c r="I415" s="80"/>
      <c r="J415" s="77"/>
      <c r="K415" s="81" t="b">
        <v>0</v>
      </c>
      <c r="L415" s="78"/>
      <c r="M415" s="82"/>
      <c r="N415" s="78"/>
      <c r="O415" s="78"/>
      <c r="P415" s="78"/>
      <c r="Q415" s="78"/>
      <c r="R415" s="78"/>
      <c r="S415" s="78"/>
      <c r="T415" s="83"/>
    </row>
    <row r="416" spans="1:20" ht="15" customHeight="1" x14ac:dyDescent="0.3">
      <c r="A416" s="73"/>
      <c r="B416" s="74"/>
      <c r="C416" s="75"/>
      <c r="D416" s="76"/>
      <c r="E416" s="77"/>
      <c r="F416" s="78"/>
      <c r="G416" s="78"/>
      <c r="H416" s="79"/>
      <c r="I416" s="80"/>
      <c r="J416" s="77"/>
      <c r="K416" s="81" t="b">
        <v>0</v>
      </c>
      <c r="L416" s="78"/>
      <c r="M416" s="82"/>
      <c r="N416" s="78"/>
      <c r="O416" s="78"/>
      <c r="P416" s="78"/>
      <c r="Q416" s="78"/>
      <c r="R416" s="78"/>
      <c r="S416" s="78"/>
      <c r="T416" s="83"/>
    </row>
    <row r="417" spans="1:20" ht="15" customHeight="1" x14ac:dyDescent="0.3">
      <c r="A417" s="73"/>
      <c r="B417" s="74"/>
      <c r="C417" s="75"/>
      <c r="D417" s="76"/>
      <c r="E417" s="77"/>
      <c r="F417" s="78"/>
      <c r="G417" s="78"/>
      <c r="H417" s="79"/>
      <c r="I417" s="80"/>
      <c r="J417" s="77"/>
      <c r="K417" s="81" t="b">
        <v>0</v>
      </c>
      <c r="L417" s="78"/>
      <c r="M417" s="82"/>
      <c r="N417" s="78"/>
      <c r="O417" s="78"/>
      <c r="P417" s="78"/>
      <c r="Q417" s="78"/>
      <c r="R417" s="78"/>
      <c r="S417" s="78"/>
      <c r="T417" s="83"/>
    </row>
    <row r="418" spans="1:20" ht="15" customHeight="1" x14ac:dyDescent="0.3">
      <c r="A418" s="73"/>
      <c r="B418" s="74"/>
      <c r="C418" s="75"/>
      <c r="D418" s="76"/>
      <c r="E418" s="77"/>
      <c r="F418" s="78"/>
      <c r="G418" s="78"/>
      <c r="H418" s="79"/>
      <c r="I418" s="80"/>
      <c r="J418" s="77"/>
      <c r="K418" s="81" t="b">
        <v>0</v>
      </c>
      <c r="L418" s="78"/>
      <c r="M418" s="82"/>
      <c r="N418" s="78"/>
      <c r="O418" s="78"/>
      <c r="P418" s="78"/>
      <c r="Q418" s="78"/>
      <c r="R418" s="78"/>
      <c r="S418" s="78"/>
      <c r="T418" s="83"/>
    </row>
    <row r="419" spans="1:20" ht="15" customHeight="1" x14ac:dyDescent="0.3">
      <c r="A419" s="73"/>
      <c r="B419" s="74"/>
      <c r="C419" s="75"/>
      <c r="D419" s="76"/>
      <c r="E419" s="77"/>
      <c r="F419" s="78"/>
      <c r="G419" s="78"/>
      <c r="H419" s="79"/>
      <c r="I419" s="80"/>
      <c r="J419" s="77"/>
      <c r="K419" s="81" t="b">
        <v>0</v>
      </c>
      <c r="L419" s="78"/>
      <c r="M419" s="82"/>
      <c r="N419" s="78"/>
      <c r="O419" s="78"/>
      <c r="P419" s="78"/>
      <c r="Q419" s="78"/>
      <c r="R419" s="78"/>
      <c r="S419" s="78"/>
      <c r="T419" s="83"/>
    </row>
    <row r="420" spans="1:20" ht="15" customHeight="1" x14ac:dyDescent="0.3">
      <c r="A420" s="73"/>
      <c r="B420" s="74"/>
      <c r="C420" s="75"/>
      <c r="D420" s="76"/>
      <c r="E420" s="77"/>
      <c r="F420" s="78"/>
      <c r="G420" s="78"/>
      <c r="H420" s="79"/>
      <c r="I420" s="80"/>
      <c r="J420" s="77"/>
      <c r="K420" s="81" t="b">
        <v>0</v>
      </c>
      <c r="L420" s="78"/>
      <c r="M420" s="82"/>
      <c r="N420" s="78"/>
      <c r="O420" s="78"/>
      <c r="P420" s="78"/>
      <c r="Q420" s="78"/>
      <c r="R420" s="78"/>
      <c r="S420" s="78"/>
      <c r="T420" s="83"/>
    </row>
    <row r="421" spans="1:20" ht="15" customHeight="1" x14ac:dyDescent="0.3">
      <c r="A421" s="73"/>
      <c r="B421" s="74"/>
      <c r="C421" s="75"/>
      <c r="D421" s="76"/>
      <c r="E421" s="77"/>
      <c r="F421" s="78"/>
      <c r="G421" s="78"/>
      <c r="H421" s="79"/>
      <c r="I421" s="80"/>
      <c r="J421" s="77"/>
      <c r="K421" s="81" t="b">
        <v>0</v>
      </c>
      <c r="L421" s="78"/>
      <c r="M421" s="82"/>
      <c r="N421" s="78"/>
      <c r="O421" s="78"/>
      <c r="P421" s="78"/>
      <c r="Q421" s="78"/>
      <c r="R421" s="78"/>
      <c r="S421" s="78"/>
      <c r="T421" s="83"/>
    </row>
    <row r="422" spans="1:20" ht="15" customHeight="1" x14ac:dyDescent="0.3">
      <c r="A422" s="73"/>
      <c r="B422" s="74"/>
      <c r="C422" s="75"/>
      <c r="D422" s="76"/>
      <c r="E422" s="77"/>
      <c r="F422" s="78"/>
      <c r="G422" s="78"/>
      <c r="H422" s="79"/>
      <c r="I422" s="80"/>
      <c r="J422" s="77"/>
      <c r="K422" s="81" t="b">
        <v>0</v>
      </c>
      <c r="L422" s="78"/>
      <c r="M422" s="82"/>
      <c r="N422" s="78"/>
      <c r="O422" s="78"/>
      <c r="P422" s="78"/>
      <c r="Q422" s="78"/>
      <c r="R422" s="78"/>
      <c r="S422" s="78"/>
      <c r="T422" s="83"/>
    </row>
    <row r="423" spans="1:20" ht="15" customHeight="1" x14ac:dyDescent="0.3">
      <c r="A423" s="73"/>
      <c r="B423" s="74"/>
      <c r="C423" s="75"/>
      <c r="D423" s="76"/>
      <c r="E423" s="77"/>
      <c r="F423" s="78"/>
      <c r="G423" s="78"/>
      <c r="H423" s="79"/>
      <c r="I423" s="80"/>
      <c r="J423" s="77"/>
      <c r="K423" s="81" t="b">
        <v>0</v>
      </c>
      <c r="L423" s="78"/>
      <c r="M423" s="82"/>
      <c r="N423" s="78"/>
      <c r="O423" s="78"/>
      <c r="P423" s="78"/>
      <c r="Q423" s="78"/>
      <c r="R423" s="78"/>
      <c r="S423" s="78"/>
      <c r="T423" s="83"/>
    </row>
    <row r="424" spans="1:20" ht="15" customHeight="1" x14ac:dyDescent="0.3">
      <c r="A424" s="73"/>
      <c r="B424" s="74"/>
      <c r="C424" s="75"/>
      <c r="D424" s="76"/>
      <c r="E424" s="77"/>
      <c r="F424" s="78"/>
      <c r="G424" s="78"/>
      <c r="H424" s="79"/>
      <c r="I424" s="80"/>
      <c r="J424" s="77"/>
      <c r="K424" s="81" t="b">
        <v>0</v>
      </c>
      <c r="L424" s="78"/>
      <c r="M424" s="82"/>
      <c r="N424" s="78"/>
      <c r="O424" s="78"/>
      <c r="P424" s="78"/>
      <c r="Q424" s="78"/>
      <c r="R424" s="78"/>
      <c r="S424" s="78"/>
      <c r="T424" s="83"/>
    </row>
    <row r="425" spans="1:20" ht="15" customHeight="1" x14ac:dyDescent="0.3">
      <c r="A425" s="73"/>
      <c r="B425" s="74"/>
      <c r="C425" s="75"/>
      <c r="D425" s="76"/>
      <c r="E425" s="77"/>
      <c r="F425" s="78"/>
      <c r="G425" s="78"/>
      <c r="H425" s="79"/>
      <c r="I425" s="80"/>
      <c r="J425" s="77"/>
      <c r="K425" s="81" t="b">
        <v>0</v>
      </c>
      <c r="L425" s="78"/>
      <c r="M425" s="82"/>
      <c r="N425" s="78"/>
      <c r="O425" s="78"/>
      <c r="P425" s="78"/>
      <c r="Q425" s="78"/>
      <c r="R425" s="78"/>
      <c r="S425" s="78"/>
      <c r="T425" s="83"/>
    </row>
    <row r="426" spans="1:20" ht="15" customHeight="1" x14ac:dyDescent="0.3">
      <c r="A426" s="73"/>
      <c r="B426" s="74"/>
      <c r="C426" s="75"/>
      <c r="D426" s="76"/>
      <c r="E426" s="77"/>
      <c r="F426" s="78"/>
      <c r="G426" s="78"/>
      <c r="H426" s="79"/>
      <c r="I426" s="80"/>
      <c r="J426" s="77"/>
      <c r="K426" s="81" t="b">
        <v>0</v>
      </c>
      <c r="L426" s="78"/>
      <c r="M426" s="82"/>
      <c r="N426" s="78"/>
      <c r="O426" s="78"/>
      <c r="P426" s="78"/>
      <c r="Q426" s="78"/>
      <c r="R426" s="78"/>
      <c r="S426" s="78"/>
      <c r="T426" s="83"/>
    </row>
    <row r="427" spans="1:20" ht="15" customHeight="1" x14ac:dyDescent="0.3">
      <c r="A427" s="73"/>
      <c r="B427" s="74"/>
      <c r="C427" s="75"/>
      <c r="D427" s="76"/>
      <c r="E427" s="77"/>
      <c r="F427" s="78"/>
      <c r="G427" s="78"/>
      <c r="H427" s="79"/>
      <c r="I427" s="80"/>
      <c r="J427" s="77"/>
      <c r="K427" s="81" t="b">
        <v>0</v>
      </c>
      <c r="L427" s="78"/>
      <c r="M427" s="82"/>
      <c r="N427" s="78"/>
      <c r="O427" s="78"/>
      <c r="P427" s="78"/>
      <c r="Q427" s="78"/>
      <c r="R427" s="78"/>
      <c r="S427" s="78"/>
      <c r="T427" s="83"/>
    </row>
    <row r="428" spans="1:20" ht="15" customHeight="1" x14ac:dyDescent="0.3">
      <c r="A428" s="73"/>
      <c r="B428" s="74"/>
      <c r="C428" s="75"/>
      <c r="D428" s="76"/>
      <c r="E428" s="77"/>
      <c r="F428" s="78"/>
      <c r="G428" s="78"/>
      <c r="H428" s="79"/>
      <c r="I428" s="80"/>
      <c r="J428" s="77"/>
      <c r="K428" s="81" t="b">
        <v>0</v>
      </c>
      <c r="L428" s="78"/>
      <c r="M428" s="82"/>
      <c r="N428" s="78"/>
      <c r="O428" s="78"/>
      <c r="P428" s="78"/>
      <c r="Q428" s="78"/>
      <c r="R428" s="78"/>
      <c r="S428" s="78"/>
      <c r="T428" s="83"/>
    </row>
    <row r="429" spans="1:20" ht="15" customHeight="1" x14ac:dyDescent="0.3">
      <c r="A429" s="73"/>
      <c r="B429" s="74"/>
      <c r="C429" s="75"/>
      <c r="D429" s="76"/>
      <c r="E429" s="77"/>
      <c r="F429" s="78"/>
      <c r="G429" s="78"/>
      <c r="H429" s="79"/>
      <c r="I429" s="80"/>
      <c r="J429" s="77"/>
      <c r="K429" s="81" t="b">
        <v>0</v>
      </c>
      <c r="L429" s="78"/>
      <c r="M429" s="82"/>
      <c r="N429" s="78"/>
      <c r="O429" s="78"/>
      <c r="P429" s="78"/>
      <c r="Q429" s="78"/>
      <c r="R429" s="78"/>
      <c r="S429" s="78"/>
      <c r="T429" s="83"/>
    </row>
    <row r="430" spans="1:20" ht="15" customHeight="1" x14ac:dyDescent="0.3">
      <c r="A430" s="73"/>
      <c r="B430" s="74"/>
      <c r="C430" s="75"/>
      <c r="D430" s="76"/>
      <c r="E430" s="77"/>
      <c r="F430" s="78"/>
      <c r="G430" s="78"/>
      <c r="H430" s="79"/>
      <c r="I430" s="80"/>
      <c r="J430" s="77"/>
      <c r="K430" s="81" t="b">
        <v>0</v>
      </c>
      <c r="L430" s="78"/>
      <c r="M430" s="82"/>
      <c r="N430" s="78"/>
      <c r="O430" s="78"/>
      <c r="P430" s="78"/>
      <c r="Q430" s="78"/>
      <c r="R430" s="78"/>
      <c r="S430" s="78"/>
      <c r="T430" s="83"/>
    </row>
    <row r="431" spans="1:20" ht="15" customHeight="1" x14ac:dyDescent="0.3">
      <c r="A431" s="73"/>
      <c r="B431" s="74"/>
      <c r="C431" s="75"/>
      <c r="D431" s="76"/>
      <c r="E431" s="77"/>
      <c r="F431" s="78"/>
      <c r="G431" s="78"/>
      <c r="H431" s="79"/>
      <c r="I431" s="80"/>
      <c r="J431" s="77"/>
      <c r="K431" s="81" t="b">
        <v>0</v>
      </c>
      <c r="L431" s="78"/>
      <c r="M431" s="82"/>
      <c r="N431" s="78"/>
      <c r="O431" s="78"/>
      <c r="P431" s="78"/>
      <c r="Q431" s="78"/>
      <c r="R431" s="78"/>
      <c r="S431" s="78"/>
      <c r="T431" s="83"/>
    </row>
    <row r="432" spans="1:20" ht="15" customHeight="1" x14ac:dyDescent="0.3">
      <c r="A432" s="73"/>
      <c r="B432" s="74"/>
      <c r="C432" s="75"/>
      <c r="D432" s="76"/>
      <c r="E432" s="77"/>
      <c r="F432" s="78"/>
      <c r="G432" s="78"/>
      <c r="H432" s="79"/>
      <c r="I432" s="80"/>
      <c r="J432" s="77"/>
      <c r="K432" s="81" t="b">
        <v>0</v>
      </c>
      <c r="L432" s="78"/>
      <c r="M432" s="82"/>
      <c r="N432" s="78"/>
      <c r="O432" s="78"/>
      <c r="P432" s="78"/>
      <c r="Q432" s="78"/>
      <c r="R432" s="78"/>
      <c r="S432" s="78"/>
      <c r="T432" s="83"/>
    </row>
    <row r="433" spans="1:20" ht="15" customHeight="1" x14ac:dyDescent="0.3">
      <c r="A433" s="73"/>
      <c r="B433" s="74"/>
      <c r="C433" s="75"/>
      <c r="D433" s="76"/>
      <c r="E433" s="77"/>
      <c r="F433" s="78"/>
      <c r="G433" s="78"/>
      <c r="H433" s="79"/>
      <c r="I433" s="80"/>
      <c r="J433" s="77"/>
      <c r="K433" s="81" t="b">
        <v>0</v>
      </c>
      <c r="L433" s="78"/>
      <c r="M433" s="82"/>
      <c r="N433" s="78"/>
      <c r="O433" s="78"/>
      <c r="P433" s="78"/>
      <c r="Q433" s="78"/>
      <c r="R433" s="78"/>
      <c r="S433" s="78"/>
      <c r="T433" s="83"/>
    </row>
    <row r="434" spans="1:20" ht="15" customHeight="1" x14ac:dyDescent="0.3">
      <c r="A434" s="73"/>
      <c r="B434" s="74"/>
      <c r="C434" s="75"/>
      <c r="D434" s="76"/>
      <c r="E434" s="77"/>
      <c r="F434" s="78"/>
      <c r="G434" s="78"/>
      <c r="H434" s="79"/>
      <c r="I434" s="80"/>
      <c r="J434" s="77"/>
      <c r="K434" s="81" t="b">
        <v>0</v>
      </c>
      <c r="L434" s="78"/>
      <c r="M434" s="82"/>
      <c r="N434" s="78"/>
      <c r="O434" s="78"/>
      <c r="P434" s="78"/>
      <c r="Q434" s="78"/>
      <c r="R434" s="78"/>
      <c r="S434" s="78"/>
      <c r="T434" s="83"/>
    </row>
    <row r="435" spans="1:20" ht="15" customHeight="1" x14ac:dyDescent="0.3">
      <c r="A435" s="73"/>
      <c r="B435" s="74"/>
      <c r="C435" s="75"/>
      <c r="D435" s="76"/>
      <c r="E435" s="77"/>
      <c r="F435" s="78"/>
      <c r="G435" s="78"/>
      <c r="H435" s="79"/>
      <c r="I435" s="80"/>
      <c r="J435" s="77"/>
      <c r="K435" s="81" t="b">
        <v>0</v>
      </c>
      <c r="L435" s="78"/>
      <c r="M435" s="82"/>
      <c r="N435" s="78"/>
      <c r="O435" s="78"/>
      <c r="P435" s="78"/>
      <c r="Q435" s="78"/>
      <c r="R435" s="78"/>
      <c r="S435" s="78"/>
      <c r="T435" s="83"/>
    </row>
    <row r="436" spans="1:20" ht="15" customHeight="1" x14ac:dyDescent="0.3">
      <c r="A436" s="73"/>
      <c r="B436" s="74"/>
      <c r="C436" s="75"/>
      <c r="D436" s="76"/>
      <c r="E436" s="77"/>
      <c r="F436" s="78"/>
      <c r="G436" s="78"/>
      <c r="H436" s="79"/>
      <c r="I436" s="80"/>
      <c r="J436" s="77"/>
      <c r="K436" s="81" t="b">
        <v>0</v>
      </c>
      <c r="L436" s="78"/>
      <c r="M436" s="82"/>
      <c r="N436" s="78"/>
      <c r="O436" s="78"/>
      <c r="P436" s="78"/>
      <c r="Q436" s="78"/>
      <c r="R436" s="78"/>
      <c r="S436" s="78"/>
      <c r="T436" s="83"/>
    </row>
    <row r="437" spans="1:20" ht="15" customHeight="1" x14ac:dyDescent="0.3">
      <c r="A437" s="73"/>
      <c r="B437" s="74"/>
      <c r="C437" s="75"/>
      <c r="D437" s="76"/>
      <c r="E437" s="77"/>
      <c r="F437" s="78"/>
      <c r="G437" s="78"/>
      <c r="H437" s="79"/>
      <c r="I437" s="80"/>
      <c r="J437" s="77"/>
      <c r="K437" s="81" t="b">
        <v>0</v>
      </c>
      <c r="L437" s="78"/>
      <c r="M437" s="82"/>
      <c r="N437" s="78"/>
      <c r="O437" s="78"/>
      <c r="P437" s="78"/>
      <c r="Q437" s="78"/>
      <c r="R437" s="78"/>
      <c r="S437" s="78"/>
      <c r="T437" s="83"/>
    </row>
    <row r="438" spans="1:20" ht="15" customHeight="1" x14ac:dyDescent="0.3">
      <c r="A438" s="73"/>
      <c r="B438" s="74"/>
      <c r="C438" s="75"/>
      <c r="D438" s="76"/>
      <c r="E438" s="77"/>
      <c r="F438" s="78"/>
      <c r="G438" s="78"/>
      <c r="H438" s="79"/>
      <c r="I438" s="80"/>
      <c r="J438" s="77"/>
      <c r="K438" s="81" t="b">
        <v>0</v>
      </c>
      <c r="L438" s="78"/>
      <c r="M438" s="82"/>
      <c r="N438" s="78"/>
      <c r="O438" s="78"/>
      <c r="P438" s="78"/>
      <c r="Q438" s="78"/>
      <c r="R438" s="78"/>
      <c r="S438" s="78"/>
      <c r="T438" s="83"/>
    </row>
    <row r="439" spans="1:20" ht="15" customHeight="1" x14ac:dyDescent="0.3">
      <c r="A439" s="73"/>
      <c r="B439" s="74"/>
      <c r="C439" s="75"/>
      <c r="D439" s="76"/>
      <c r="E439" s="77"/>
      <c r="F439" s="78"/>
      <c r="G439" s="78"/>
      <c r="H439" s="79"/>
      <c r="I439" s="80"/>
      <c r="J439" s="77"/>
      <c r="K439" s="81" t="b">
        <v>0</v>
      </c>
      <c r="L439" s="78"/>
      <c r="M439" s="82"/>
      <c r="N439" s="78"/>
      <c r="O439" s="78"/>
      <c r="P439" s="78"/>
      <c r="Q439" s="78"/>
      <c r="R439" s="78"/>
      <c r="S439" s="78"/>
      <c r="T439" s="83"/>
    </row>
    <row r="440" spans="1:20" ht="15" customHeight="1" x14ac:dyDescent="0.3">
      <c r="A440" s="73"/>
      <c r="B440" s="74"/>
      <c r="C440" s="75"/>
      <c r="D440" s="76"/>
      <c r="E440" s="77"/>
      <c r="F440" s="78"/>
      <c r="G440" s="78"/>
      <c r="H440" s="79"/>
      <c r="I440" s="80"/>
      <c r="J440" s="77"/>
      <c r="K440" s="81" t="b">
        <v>0</v>
      </c>
      <c r="L440" s="78"/>
      <c r="M440" s="82"/>
      <c r="N440" s="78"/>
      <c r="O440" s="78"/>
      <c r="P440" s="78"/>
      <c r="Q440" s="78"/>
      <c r="R440" s="78"/>
      <c r="S440" s="78"/>
      <c r="T440" s="83"/>
    </row>
    <row r="441" spans="1:20" ht="15" customHeight="1" x14ac:dyDescent="0.3">
      <c r="A441" s="73"/>
      <c r="B441" s="74"/>
      <c r="C441" s="75"/>
      <c r="D441" s="76"/>
      <c r="E441" s="77"/>
      <c r="F441" s="78"/>
      <c r="G441" s="78"/>
      <c r="H441" s="79"/>
      <c r="I441" s="80"/>
      <c r="J441" s="77"/>
      <c r="K441" s="81" t="b">
        <v>0</v>
      </c>
      <c r="L441" s="78"/>
      <c r="M441" s="82"/>
      <c r="N441" s="78"/>
      <c r="O441" s="78"/>
      <c r="P441" s="78"/>
      <c r="Q441" s="78"/>
      <c r="R441" s="78"/>
      <c r="S441" s="78"/>
      <c r="T441" s="83"/>
    </row>
    <row r="442" spans="1:20" ht="15" customHeight="1" x14ac:dyDescent="0.3">
      <c r="A442" s="73"/>
      <c r="B442" s="74"/>
      <c r="C442" s="75"/>
      <c r="D442" s="76"/>
      <c r="E442" s="77"/>
      <c r="F442" s="78"/>
      <c r="G442" s="78"/>
      <c r="H442" s="79"/>
      <c r="I442" s="80"/>
      <c r="J442" s="77"/>
      <c r="K442" s="81" t="b">
        <v>0</v>
      </c>
      <c r="L442" s="78"/>
      <c r="M442" s="82"/>
      <c r="N442" s="78"/>
      <c r="O442" s="78"/>
      <c r="P442" s="78"/>
      <c r="Q442" s="78"/>
      <c r="R442" s="78"/>
      <c r="S442" s="78"/>
      <c r="T442" s="83"/>
    </row>
    <row r="443" spans="1:20" ht="15" customHeight="1" x14ac:dyDescent="0.3">
      <c r="A443" s="73"/>
      <c r="B443" s="74"/>
      <c r="C443" s="75"/>
      <c r="D443" s="76"/>
      <c r="E443" s="77"/>
      <c r="F443" s="78"/>
      <c r="G443" s="78"/>
      <c r="H443" s="79"/>
      <c r="I443" s="80"/>
      <c r="J443" s="77"/>
      <c r="K443" s="81" t="b">
        <v>0</v>
      </c>
      <c r="L443" s="78"/>
      <c r="M443" s="82"/>
      <c r="N443" s="78"/>
      <c r="O443" s="78"/>
      <c r="P443" s="78"/>
      <c r="Q443" s="78"/>
      <c r="R443" s="78"/>
      <c r="S443" s="78"/>
      <c r="T443" s="83"/>
    </row>
    <row r="444" spans="1:20" ht="15" customHeight="1" x14ac:dyDescent="0.3">
      <c r="A444" s="73"/>
      <c r="B444" s="74"/>
      <c r="C444" s="75"/>
      <c r="D444" s="76"/>
      <c r="E444" s="77"/>
      <c r="F444" s="78"/>
      <c r="G444" s="78"/>
      <c r="H444" s="79"/>
      <c r="I444" s="80"/>
      <c r="J444" s="77"/>
      <c r="K444" s="81" t="b">
        <v>0</v>
      </c>
      <c r="L444" s="78"/>
      <c r="M444" s="82"/>
      <c r="N444" s="78"/>
      <c r="O444" s="78"/>
      <c r="P444" s="78"/>
      <c r="Q444" s="78"/>
      <c r="R444" s="78"/>
      <c r="S444" s="78"/>
      <c r="T444" s="83"/>
    </row>
    <row r="445" spans="1:20" ht="15" customHeight="1" x14ac:dyDescent="0.3">
      <c r="A445" s="73"/>
      <c r="B445" s="74"/>
      <c r="C445" s="75"/>
      <c r="D445" s="76"/>
      <c r="E445" s="77"/>
      <c r="F445" s="78"/>
      <c r="G445" s="78"/>
      <c r="H445" s="79"/>
      <c r="I445" s="80"/>
      <c r="J445" s="77"/>
      <c r="K445" s="81" t="b">
        <v>0</v>
      </c>
      <c r="L445" s="78"/>
      <c r="M445" s="82"/>
      <c r="N445" s="78"/>
      <c r="O445" s="78"/>
      <c r="P445" s="78"/>
      <c r="Q445" s="78"/>
      <c r="R445" s="78"/>
      <c r="S445" s="78"/>
      <c r="T445" s="83"/>
    </row>
    <row r="446" spans="1:20" ht="15" customHeight="1" x14ac:dyDescent="0.3">
      <c r="A446" s="73"/>
      <c r="B446" s="74"/>
      <c r="C446" s="75"/>
      <c r="D446" s="76"/>
      <c r="E446" s="77"/>
      <c r="F446" s="78"/>
      <c r="G446" s="78"/>
      <c r="H446" s="79"/>
      <c r="I446" s="80"/>
      <c r="J446" s="77"/>
      <c r="K446" s="81" t="b">
        <v>0</v>
      </c>
      <c r="L446" s="78"/>
      <c r="M446" s="82"/>
      <c r="N446" s="78"/>
      <c r="O446" s="78"/>
      <c r="P446" s="78"/>
      <c r="Q446" s="78"/>
      <c r="R446" s="78"/>
      <c r="S446" s="78"/>
      <c r="T446" s="83"/>
    </row>
    <row r="447" spans="1:20" ht="15" customHeight="1" x14ac:dyDescent="0.3">
      <c r="A447" s="73"/>
      <c r="B447" s="74"/>
      <c r="C447" s="75"/>
      <c r="D447" s="76"/>
      <c r="E447" s="77"/>
      <c r="F447" s="78"/>
      <c r="G447" s="78"/>
      <c r="H447" s="79"/>
      <c r="I447" s="80"/>
      <c r="J447" s="77"/>
      <c r="K447" s="81" t="b">
        <v>0</v>
      </c>
      <c r="L447" s="78"/>
      <c r="M447" s="82"/>
      <c r="N447" s="78"/>
      <c r="O447" s="78"/>
      <c r="P447" s="78"/>
      <c r="Q447" s="78"/>
      <c r="R447" s="78"/>
      <c r="S447" s="78"/>
      <c r="T447" s="83"/>
    </row>
    <row r="448" spans="1:20" ht="15" customHeight="1" x14ac:dyDescent="0.3">
      <c r="A448" s="73"/>
      <c r="B448" s="74"/>
      <c r="C448" s="75"/>
      <c r="D448" s="76"/>
      <c r="E448" s="77"/>
      <c r="F448" s="78"/>
      <c r="G448" s="78"/>
      <c r="H448" s="79"/>
      <c r="I448" s="80"/>
      <c r="J448" s="77"/>
      <c r="K448" s="81" t="b">
        <v>0</v>
      </c>
      <c r="L448" s="78"/>
      <c r="M448" s="82"/>
      <c r="N448" s="78"/>
      <c r="O448" s="78"/>
      <c r="P448" s="78"/>
      <c r="Q448" s="78"/>
      <c r="R448" s="78"/>
      <c r="S448" s="78"/>
      <c r="T448" s="83"/>
    </row>
    <row r="449" spans="1:20" ht="15" customHeight="1" x14ac:dyDescent="0.3">
      <c r="A449" s="73"/>
      <c r="B449" s="74"/>
      <c r="C449" s="75"/>
      <c r="D449" s="76"/>
      <c r="E449" s="77"/>
      <c r="F449" s="78"/>
      <c r="G449" s="78"/>
      <c r="H449" s="79"/>
      <c r="I449" s="80"/>
      <c r="J449" s="77"/>
      <c r="K449" s="81" t="b">
        <v>0</v>
      </c>
      <c r="L449" s="78"/>
      <c r="M449" s="82"/>
      <c r="N449" s="78"/>
      <c r="O449" s="78"/>
      <c r="P449" s="78"/>
      <c r="Q449" s="78"/>
      <c r="R449" s="78"/>
      <c r="S449" s="78"/>
      <c r="T449" s="83"/>
    </row>
    <row r="450" spans="1:20" ht="15" customHeight="1" x14ac:dyDescent="0.3">
      <c r="A450" s="73"/>
      <c r="B450" s="74"/>
      <c r="C450" s="75"/>
      <c r="D450" s="76"/>
      <c r="E450" s="77"/>
      <c r="F450" s="78"/>
      <c r="G450" s="78"/>
      <c r="H450" s="79"/>
      <c r="I450" s="80"/>
      <c r="J450" s="77"/>
      <c r="K450" s="81" t="b">
        <v>0</v>
      </c>
      <c r="L450" s="78"/>
      <c r="M450" s="82"/>
      <c r="N450" s="78"/>
      <c r="O450" s="78"/>
      <c r="P450" s="78"/>
      <c r="Q450" s="78"/>
      <c r="R450" s="78"/>
      <c r="S450" s="78"/>
      <c r="T450" s="83"/>
    </row>
    <row r="451" spans="1:20" ht="15" customHeight="1" x14ac:dyDescent="0.3">
      <c r="A451" s="73"/>
      <c r="B451" s="74"/>
      <c r="C451" s="75"/>
      <c r="D451" s="76"/>
      <c r="E451" s="77"/>
      <c r="F451" s="78"/>
      <c r="G451" s="78"/>
      <c r="H451" s="79"/>
      <c r="I451" s="80"/>
      <c r="J451" s="77"/>
      <c r="K451" s="81" t="b">
        <v>0</v>
      </c>
      <c r="L451" s="78"/>
      <c r="M451" s="82"/>
      <c r="N451" s="78"/>
      <c r="O451" s="78"/>
      <c r="P451" s="78"/>
      <c r="Q451" s="78"/>
      <c r="R451" s="78"/>
      <c r="S451" s="78"/>
      <c r="T451" s="83"/>
    </row>
    <row r="452" spans="1:20" ht="15" customHeight="1" x14ac:dyDescent="0.3">
      <c r="A452" s="73"/>
      <c r="B452" s="74"/>
      <c r="C452" s="75"/>
      <c r="D452" s="76"/>
      <c r="E452" s="77"/>
      <c r="F452" s="78"/>
      <c r="G452" s="78"/>
      <c r="H452" s="79"/>
      <c r="I452" s="80"/>
      <c r="J452" s="77"/>
      <c r="K452" s="81" t="b">
        <v>0</v>
      </c>
      <c r="L452" s="78"/>
      <c r="M452" s="82"/>
      <c r="N452" s="78"/>
      <c r="O452" s="78"/>
      <c r="P452" s="78"/>
      <c r="Q452" s="78"/>
      <c r="R452" s="78"/>
      <c r="S452" s="78"/>
      <c r="T452" s="83"/>
    </row>
    <row r="453" spans="1:20" ht="15" customHeight="1" x14ac:dyDescent="0.3">
      <c r="A453" s="73"/>
      <c r="B453" s="74"/>
      <c r="C453" s="75"/>
      <c r="D453" s="76"/>
      <c r="E453" s="77"/>
      <c r="F453" s="78"/>
      <c r="G453" s="78"/>
      <c r="H453" s="79"/>
      <c r="I453" s="80"/>
      <c r="J453" s="77"/>
      <c r="K453" s="81" t="b">
        <v>0</v>
      </c>
      <c r="L453" s="78"/>
      <c r="M453" s="82"/>
      <c r="N453" s="78"/>
      <c r="O453" s="78"/>
      <c r="P453" s="78"/>
      <c r="Q453" s="78"/>
      <c r="R453" s="78"/>
      <c r="S453" s="78"/>
      <c r="T453" s="83"/>
    </row>
    <row r="454" spans="1:20" ht="15" customHeight="1" x14ac:dyDescent="0.3">
      <c r="A454" s="73"/>
      <c r="B454" s="74"/>
      <c r="C454" s="75"/>
      <c r="D454" s="76"/>
      <c r="E454" s="77"/>
      <c r="F454" s="78"/>
      <c r="G454" s="78"/>
      <c r="H454" s="79"/>
      <c r="I454" s="80"/>
      <c r="J454" s="77"/>
      <c r="K454" s="81" t="b">
        <v>0</v>
      </c>
      <c r="L454" s="78"/>
      <c r="M454" s="82"/>
      <c r="N454" s="78"/>
      <c r="O454" s="78"/>
      <c r="P454" s="78"/>
      <c r="Q454" s="78"/>
      <c r="R454" s="78"/>
      <c r="S454" s="78"/>
      <c r="T454" s="83"/>
    </row>
    <row r="455" spans="1:20" ht="15" customHeight="1" x14ac:dyDescent="0.3">
      <c r="A455" s="73"/>
      <c r="B455" s="74"/>
      <c r="C455" s="75"/>
      <c r="D455" s="76"/>
      <c r="E455" s="77"/>
      <c r="F455" s="78"/>
      <c r="G455" s="78"/>
      <c r="H455" s="79"/>
      <c r="I455" s="80"/>
      <c r="J455" s="77"/>
      <c r="K455" s="81" t="b">
        <v>0</v>
      </c>
      <c r="L455" s="78"/>
      <c r="M455" s="82"/>
      <c r="N455" s="78"/>
      <c r="O455" s="78"/>
      <c r="P455" s="78"/>
      <c r="Q455" s="78"/>
      <c r="R455" s="78"/>
      <c r="S455" s="78"/>
      <c r="T455" s="83"/>
    </row>
    <row r="456" spans="1:20" ht="15" customHeight="1" x14ac:dyDescent="0.3">
      <c r="A456" s="73"/>
      <c r="B456" s="74"/>
      <c r="C456" s="75"/>
      <c r="D456" s="76"/>
      <c r="E456" s="77"/>
      <c r="F456" s="78"/>
      <c r="G456" s="78"/>
      <c r="H456" s="79"/>
      <c r="I456" s="80"/>
      <c r="J456" s="77"/>
      <c r="K456" s="81" t="b">
        <v>0</v>
      </c>
      <c r="L456" s="78"/>
      <c r="M456" s="82"/>
      <c r="N456" s="78"/>
      <c r="O456" s="78"/>
      <c r="P456" s="78"/>
      <c r="Q456" s="78"/>
      <c r="R456" s="78"/>
      <c r="S456" s="78"/>
      <c r="T456" s="83"/>
    </row>
    <row r="457" spans="1:20" ht="15" customHeight="1" x14ac:dyDescent="0.3">
      <c r="A457" s="73"/>
      <c r="B457" s="74"/>
      <c r="C457" s="75"/>
      <c r="D457" s="76"/>
      <c r="E457" s="77"/>
      <c r="F457" s="78"/>
      <c r="G457" s="78"/>
      <c r="H457" s="79"/>
      <c r="I457" s="80"/>
      <c r="J457" s="77"/>
      <c r="K457" s="81" t="b">
        <v>0</v>
      </c>
      <c r="L457" s="78"/>
      <c r="M457" s="82"/>
      <c r="N457" s="78"/>
      <c r="O457" s="78"/>
      <c r="P457" s="78"/>
      <c r="Q457" s="78"/>
      <c r="R457" s="78"/>
      <c r="S457" s="78"/>
      <c r="T457" s="83"/>
    </row>
    <row r="458" spans="1:20" ht="15" customHeight="1" x14ac:dyDescent="0.3">
      <c r="A458" s="73"/>
      <c r="B458" s="74"/>
      <c r="C458" s="75"/>
      <c r="D458" s="76"/>
      <c r="E458" s="77"/>
      <c r="F458" s="78"/>
      <c r="G458" s="78"/>
      <c r="H458" s="79"/>
      <c r="I458" s="80"/>
      <c r="J458" s="77"/>
      <c r="K458" s="81" t="b">
        <v>0</v>
      </c>
      <c r="L458" s="78"/>
      <c r="M458" s="82"/>
      <c r="N458" s="78"/>
      <c r="O458" s="78"/>
      <c r="P458" s="78"/>
      <c r="Q458" s="78"/>
      <c r="R458" s="78"/>
      <c r="S458" s="78"/>
      <c r="T458" s="83"/>
    </row>
    <row r="459" spans="1:20" ht="15" customHeight="1" x14ac:dyDescent="0.3">
      <c r="A459" s="73"/>
      <c r="B459" s="74"/>
      <c r="C459" s="75"/>
      <c r="D459" s="76"/>
      <c r="E459" s="77"/>
      <c r="F459" s="78"/>
      <c r="G459" s="78"/>
      <c r="H459" s="79"/>
      <c r="I459" s="80"/>
      <c r="J459" s="77"/>
      <c r="K459" s="81" t="b">
        <v>0</v>
      </c>
      <c r="L459" s="78"/>
      <c r="M459" s="82"/>
      <c r="N459" s="78"/>
      <c r="O459" s="78"/>
      <c r="P459" s="78"/>
      <c r="Q459" s="78"/>
      <c r="R459" s="78"/>
      <c r="S459" s="78"/>
      <c r="T459" s="83"/>
    </row>
    <row r="460" spans="1:20" ht="15" customHeight="1" x14ac:dyDescent="0.3">
      <c r="A460" s="73"/>
      <c r="B460" s="74"/>
      <c r="C460" s="75"/>
      <c r="D460" s="76"/>
      <c r="E460" s="77"/>
      <c r="F460" s="78"/>
      <c r="G460" s="78"/>
      <c r="H460" s="79"/>
      <c r="I460" s="80"/>
      <c r="J460" s="77"/>
      <c r="K460" s="81" t="b">
        <v>0</v>
      </c>
      <c r="L460" s="78"/>
      <c r="M460" s="82"/>
      <c r="N460" s="78"/>
      <c r="O460" s="78"/>
      <c r="P460" s="78"/>
      <c r="Q460" s="78"/>
      <c r="R460" s="78"/>
      <c r="S460" s="78"/>
      <c r="T460" s="83"/>
    </row>
    <row r="461" spans="1:20" ht="15" customHeight="1" x14ac:dyDescent="0.3">
      <c r="A461" s="73"/>
      <c r="B461" s="74"/>
      <c r="C461" s="75"/>
      <c r="D461" s="76"/>
      <c r="E461" s="77"/>
      <c r="F461" s="78"/>
      <c r="G461" s="78"/>
      <c r="H461" s="79"/>
      <c r="I461" s="80"/>
      <c r="J461" s="77"/>
      <c r="K461" s="81" t="b">
        <v>0</v>
      </c>
      <c r="L461" s="78"/>
      <c r="M461" s="82"/>
      <c r="N461" s="78"/>
      <c r="O461" s="78"/>
      <c r="P461" s="78"/>
      <c r="Q461" s="78"/>
      <c r="R461" s="78"/>
      <c r="S461" s="78"/>
      <c r="T461" s="83"/>
    </row>
    <row r="462" spans="1:20" ht="15" customHeight="1" x14ac:dyDescent="0.3">
      <c r="A462" s="73"/>
      <c r="B462" s="74"/>
      <c r="C462" s="75"/>
      <c r="D462" s="76"/>
      <c r="E462" s="77"/>
      <c r="F462" s="78"/>
      <c r="G462" s="78"/>
      <c r="H462" s="79"/>
      <c r="I462" s="80"/>
      <c r="J462" s="77"/>
      <c r="K462" s="81" t="b">
        <v>0</v>
      </c>
      <c r="L462" s="78"/>
      <c r="M462" s="82"/>
      <c r="N462" s="78"/>
      <c r="O462" s="78"/>
      <c r="P462" s="78"/>
      <c r="Q462" s="78"/>
      <c r="R462" s="78"/>
      <c r="S462" s="78"/>
      <c r="T462" s="83"/>
    </row>
    <row r="463" spans="1:20" ht="15" customHeight="1" x14ac:dyDescent="0.3">
      <c r="A463" s="73"/>
      <c r="B463" s="74"/>
      <c r="C463" s="75"/>
      <c r="D463" s="76"/>
      <c r="E463" s="77"/>
      <c r="F463" s="78"/>
      <c r="G463" s="78"/>
      <c r="H463" s="79"/>
      <c r="I463" s="80"/>
      <c r="J463" s="77"/>
      <c r="K463" s="81" t="b">
        <v>0</v>
      </c>
      <c r="L463" s="78"/>
      <c r="M463" s="82"/>
      <c r="N463" s="78"/>
      <c r="O463" s="78"/>
      <c r="P463" s="78"/>
      <c r="Q463" s="78"/>
      <c r="R463" s="78"/>
      <c r="S463" s="78"/>
      <c r="T463" s="83"/>
    </row>
    <row r="464" spans="1:20" ht="15" customHeight="1" x14ac:dyDescent="0.3">
      <c r="A464" s="73"/>
      <c r="B464" s="74"/>
      <c r="C464" s="75"/>
      <c r="D464" s="76"/>
      <c r="E464" s="77"/>
      <c r="F464" s="78"/>
      <c r="G464" s="78"/>
      <c r="H464" s="79"/>
      <c r="I464" s="80"/>
      <c r="J464" s="77"/>
      <c r="K464" s="81" t="b">
        <v>0</v>
      </c>
      <c r="L464" s="78"/>
      <c r="M464" s="82"/>
      <c r="N464" s="78"/>
      <c r="O464" s="78"/>
      <c r="P464" s="78"/>
      <c r="Q464" s="78"/>
      <c r="R464" s="78"/>
      <c r="S464" s="78"/>
      <c r="T464" s="83"/>
    </row>
    <row r="465" spans="1:20" ht="15" customHeight="1" x14ac:dyDescent="0.3">
      <c r="A465" s="73"/>
      <c r="B465" s="74"/>
      <c r="C465" s="75"/>
      <c r="D465" s="76"/>
      <c r="E465" s="77"/>
      <c r="F465" s="78"/>
      <c r="G465" s="78"/>
      <c r="H465" s="79"/>
      <c r="I465" s="80"/>
      <c r="J465" s="77"/>
      <c r="K465" s="81" t="b">
        <v>0</v>
      </c>
      <c r="L465" s="78"/>
      <c r="M465" s="82"/>
      <c r="N465" s="78"/>
      <c r="O465" s="78"/>
      <c r="P465" s="78"/>
      <c r="Q465" s="78"/>
      <c r="R465" s="78"/>
      <c r="S465" s="78"/>
      <c r="T465" s="83"/>
    </row>
    <row r="466" spans="1:20" ht="15" customHeight="1" x14ac:dyDescent="0.3">
      <c r="A466" s="73"/>
      <c r="B466" s="74"/>
      <c r="C466" s="75"/>
      <c r="D466" s="76"/>
      <c r="E466" s="77"/>
      <c r="F466" s="78"/>
      <c r="G466" s="78"/>
      <c r="H466" s="79"/>
      <c r="I466" s="80"/>
      <c r="J466" s="77"/>
      <c r="K466" s="81" t="b">
        <v>0</v>
      </c>
      <c r="L466" s="78"/>
      <c r="M466" s="82"/>
      <c r="N466" s="78"/>
      <c r="O466" s="78"/>
      <c r="P466" s="78"/>
      <c r="Q466" s="78"/>
      <c r="R466" s="78"/>
      <c r="S466" s="78"/>
      <c r="T466" s="83"/>
    </row>
    <row r="467" spans="1:20" ht="15" customHeight="1" x14ac:dyDescent="0.3">
      <c r="A467" s="73"/>
      <c r="B467" s="74"/>
      <c r="C467" s="75"/>
      <c r="D467" s="76"/>
      <c r="E467" s="77"/>
      <c r="F467" s="78"/>
      <c r="G467" s="78"/>
      <c r="H467" s="79"/>
      <c r="I467" s="80"/>
      <c r="J467" s="77"/>
      <c r="K467" s="81" t="b">
        <v>0</v>
      </c>
      <c r="L467" s="78"/>
      <c r="M467" s="82"/>
      <c r="N467" s="78"/>
      <c r="O467" s="78"/>
      <c r="P467" s="78"/>
      <c r="Q467" s="78"/>
      <c r="R467" s="78"/>
      <c r="S467" s="78"/>
      <c r="T467" s="83"/>
    </row>
    <row r="468" spans="1:20" ht="15" customHeight="1" x14ac:dyDescent="0.3">
      <c r="A468" s="73"/>
      <c r="B468" s="74"/>
      <c r="C468" s="75"/>
      <c r="D468" s="76"/>
      <c r="E468" s="77"/>
      <c r="F468" s="78"/>
      <c r="G468" s="78"/>
      <c r="H468" s="79"/>
      <c r="I468" s="80"/>
      <c r="J468" s="77"/>
      <c r="K468" s="81" t="b">
        <v>0</v>
      </c>
      <c r="L468" s="78"/>
      <c r="M468" s="82"/>
      <c r="N468" s="78"/>
      <c r="O468" s="78"/>
      <c r="P468" s="78"/>
      <c r="Q468" s="78"/>
      <c r="R468" s="78"/>
      <c r="S468" s="78"/>
      <c r="T468" s="83"/>
    </row>
    <row r="469" spans="1:20" ht="15" customHeight="1" x14ac:dyDescent="0.3">
      <c r="A469" s="73"/>
      <c r="B469" s="74"/>
      <c r="C469" s="75"/>
      <c r="D469" s="76"/>
      <c r="E469" s="77"/>
      <c r="F469" s="78"/>
      <c r="G469" s="78"/>
      <c r="H469" s="79"/>
      <c r="I469" s="80"/>
      <c r="J469" s="77"/>
      <c r="K469" s="81" t="b">
        <v>0</v>
      </c>
      <c r="L469" s="78"/>
      <c r="M469" s="82"/>
      <c r="N469" s="78"/>
      <c r="O469" s="78"/>
      <c r="P469" s="78"/>
      <c r="Q469" s="78"/>
      <c r="R469" s="78"/>
      <c r="S469" s="78"/>
      <c r="T469" s="83"/>
    </row>
    <row r="470" spans="1:20" ht="15" customHeight="1" x14ac:dyDescent="0.3">
      <c r="A470" s="73"/>
      <c r="B470" s="74"/>
      <c r="C470" s="75"/>
      <c r="D470" s="76"/>
      <c r="E470" s="77"/>
      <c r="F470" s="78"/>
      <c r="G470" s="78"/>
      <c r="H470" s="79"/>
      <c r="I470" s="80"/>
      <c r="J470" s="77"/>
      <c r="K470" s="81" t="b">
        <v>0</v>
      </c>
      <c r="L470" s="78"/>
      <c r="M470" s="82"/>
      <c r="N470" s="78"/>
      <c r="O470" s="78"/>
      <c r="P470" s="78"/>
      <c r="Q470" s="78"/>
      <c r="R470" s="78"/>
      <c r="S470" s="78"/>
      <c r="T470" s="83"/>
    </row>
    <row r="471" spans="1:20" ht="15" customHeight="1" x14ac:dyDescent="0.3">
      <c r="A471" s="73"/>
      <c r="B471" s="74"/>
      <c r="C471" s="75"/>
      <c r="D471" s="76"/>
      <c r="E471" s="77"/>
      <c r="F471" s="78"/>
      <c r="G471" s="78"/>
      <c r="H471" s="79"/>
      <c r="I471" s="80"/>
      <c r="J471" s="77"/>
      <c r="K471" s="81" t="b">
        <v>0</v>
      </c>
      <c r="L471" s="78"/>
      <c r="M471" s="82"/>
      <c r="N471" s="78"/>
      <c r="O471" s="78"/>
      <c r="P471" s="78"/>
      <c r="Q471" s="78"/>
      <c r="R471" s="78"/>
      <c r="S471" s="78"/>
      <c r="T471" s="83"/>
    </row>
    <row r="472" spans="1:20" ht="15" customHeight="1" x14ac:dyDescent="0.3">
      <c r="A472" s="73"/>
      <c r="B472" s="74"/>
      <c r="C472" s="75"/>
      <c r="D472" s="76"/>
      <c r="E472" s="77"/>
      <c r="F472" s="78"/>
      <c r="G472" s="78"/>
      <c r="H472" s="79"/>
      <c r="I472" s="80"/>
      <c r="J472" s="77"/>
      <c r="K472" s="81" t="b">
        <v>0</v>
      </c>
      <c r="L472" s="78"/>
      <c r="M472" s="82"/>
      <c r="N472" s="78"/>
      <c r="O472" s="78"/>
      <c r="P472" s="78"/>
      <c r="Q472" s="78"/>
      <c r="R472" s="78"/>
      <c r="S472" s="78"/>
      <c r="T472" s="83"/>
    </row>
    <row r="473" spans="1:20" ht="15" customHeight="1" x14ac:dyDescent="0.3">
      <c r="A473" s="73"/>
      <c r="B473" s="74"/>
      <c r="C473" s="75"/>
      <c r="D473" s="76"/>
      <c r="E473" s="77"/>
      <c r="F473" s="78"/>
      <c r="G473" s="78"/>
      <c r="H473" s="79"/>
      <c r="I473" s="80"/>
      <c r="J473" s="77"/>
      <c r="K473" s="81" t="b">
        <v>0</v>
      </c>
      <c r="L473" s="78"/>
      <c r="M473" s="82"/>
      <c r="N473" s="78"/>
      <c r="O473" s="78"/>
      <c r="P473" s="78"/>
      <c r="Q473" s="78"/>
      <c r="R473" s="78"/>
      <c r="S473" s="78"/>
      <c r="T473" s="83"/>
    </row>
    <row r="474" spans="1:20" ht="15" customHeight="1" x14ac:dyDescent="0.3">
      <c r="A474" s="73"/>
      <c r="B474" s="74"/>
      <c r="C474" s="75"/>
      <c r="D474" s="76"/>
      <c r="E474" s="77"/>
      <c r="F474" s="78"/>
      <c r="G474" s="78"/>
      <c r="H474" s="79"/>
      <c r="I474" s="80"/>
      <c r="J474" s="77"/>
      <c r="K474" s="81" t="b">
        <v>0</v>
      </c>
      <c r="L474" s="78"/>
      <c r="M474" s="82"/>
      <c r="N474" s="78"/>
      <c r="O474" s="78"/>
      <c r="P474" s="78"/>
      <c r="Q474" s="78"/>
      <c r="R474" s="78"/>
      <c r="S474" s="78"/>
      <c r="T474" s="83"/>
    </row>
    <row r="475" spans="1:20" ht="15" customHeight="1" x14ac:dyDescent="0.3">
      <c r="A475" s="73"/>
      <c r="B475" s="74"/>
      <c r="C475" s="75"/>
      <c r="D475" s="76"/>
      <c r="E475" s="77"/>
      <c r="F475" s="78"/>
      <c r="G475" s="78"/>
      <c r="H475" s="79"/>
      <c r="I475" s="80"/>
      <c r="J475" s="77"/>
      <c r="K475" s="81" t="b">
        <v>0</v>
      </c>
      <c r="L475" s="78"/>
      <c r="M475" s="82"/>
      <c r="N475" s="78"/>
      <c r="O475" s="78"/>
      <c r="P475" s="78"/>
      <c r="Q475" s="78"/>
      <c r="R475" s="78"/>
      <c r="S475" s="78"/>
      <c r="T475" s="83"/>
    </row>
    <row r="476" spans="1:20" ht="15" customHeight="1" x14ac:dyDescent="0.3">
      <c r="A476" s="73"/>
      <c r="B476" s="74"/>
      <c r="C476" s="75"/>
      <c r="D476" s="76"/>
      <c r="E476" s="77"/>
      <c r="F476" s="78"/>
      <c r="G476" s="78"/>
      <c r="H476" s="79"/>
      <c r="I476" s="80"/>
      <c r="J476" s="77"/>
      <c r="K476" s="81" t="b">
        <v>0</v>
      </c>
      <c r="L476" s="78"/>
      <c r="M476" s="82"/>
      <c r="N476" s="78"/>
      <c r="O476" s="78"/>
      <c r="P476" s="78"/>
      <c r="Q476" s="78"/>
      <c r="R476" s="78"/>
      <c r="S476" s="78"/>
      <c r="T476" s="83"/>
    </row>
    <row r="477" spans="1:20" ht="15" customHeight="1" x14ac:dyDescent="0.3">
      <c r="A477" s="73"/>
      <c r="B477" s="74"/>
      <c r="C477" s="75"/>
      <c r="D477" s="76"/>
      <c r="E477" s="77"/>
      <c r="F477" s="78"/>
      <c r="G477" s="78"/>
      <c r="H477" s="79"/>
      <c r="I477" s="80"/>
      <c r="J477" s="77"/>
      <c r="K477" s="81" t="b">
        <v>0</v>
      </c>
      <c r="L477" s="78"/>
      <c r="M477" s="82"/>
      <c r="N477" s="78"/>
      <c r="O477" s="78"/>
      <c r="P477" s="78"/>
      <c r="Q477" s="78"/>
      <c r="R477" s="78"/>
      <c r="S477" s="78"/>
      <c r="T477" s="83"/>
    </row>
    <row r="478" spans="1:20" ht="15" customHeight="1" x14ac:dyDescent="0.3">
      <c r="A478" s="73"/>
      <c r="B478" s="74"/>
      <c r="C478" s="75"/>
      <c r="D478" s="76"/>
      <c r="E478" s="77"/>
      <c r="F478" s="78"/>
      <c r="G478" s="78"/>
      <c r="H478" s="79"/>
      <c r="I478" s="80"/>
      <c r="J478" s="77"/>
      <c r="K478" s="81" t="b">
        <v>0</v>
      </c>
      <c r="L478" s="78"/>
      <c r="M478" s="82"/>
      <c r="N478" s="78"/>
      <c r="O478" s="78"/>
      <c r="P478" s="78"/>
      <c r="Q478" s="78"/>
      <c r="R478" s="78"/>
      <c r="S478" s="78"/>
      <c r="T478" s="83"/>
    </row>
    <row r="479" spans="1:20" ht="15" customHeight="1" x14ac:dyDescent="0.3">
      <c r="A479" s="73"/>
      <c r="B479" s="74"/>
      <c r="C479" s="75"/>
      <c r="D479" s="76"/>
      <c r="E479" s="77"/>
      <c r="F479" s="78"/>
      <c r="G479" s="78"/>
      <c r="H479" s="79"/>
      <c r="I479" s="80"/>
      <c r="J479" s="77"/>
      <c r="K479" s="81" t="b">
        <v>0</v>
      </c>
      <c r="L479" s="78"/>
      <c r="M479" s="82"/>
      <c r="N479" s="78"/>
      <c r="O479" s="78"/>
      <c r="P479" s="78"/>
      <c r="Q479" s="78"/>
      <c r="R479" s="78"/>
      <c r="S479" s="78"/>
      <c r="T479" s="83"/>
    </row>
    <row r="480" spans="1:20" ht="15" customHeight="1" x14ac:dyDescent="0.3">
      <c r="A480" s="73"/>
      <c r="B480" s="74"/>
      <c r="C480" s="75"/>
      <c r="D480" s="76"/>
      <c r="E480" s="77"/>
      <c r="F480" s="78"/>
      <c r="G480" s="78"/>
      <c r="H480" s="79"/>
      <c r="I480" s="80"/>
      <c r="J480" s="77"/>
      <c r="K480" s="81" t="b">
        <v>0</v>
      </c>
      <c r="L480" s="78"/>
      <c r="M480" s="82"/>
      <c r="N480" s="78"/>
      <c r="O480" s="78"/>
      <c r="P480" s="78"/>
      <c r="Q480" s="78"/>
      <c r="R480" s="78"/>
      <c r="S480" s="78"/>
      <c r="T480" s="83"/>
    </row>
    <row r="481" spans="1:20" ht="15" customHeight="1" x14ac:dyDescent="0.3">
      <c r="A481" s="73"/>
      <c r="B481" s="74"/>
      <c r="C481" s="75"/>
      <c r="D481" s="76"/>
      <c r="E481" s="77"/>
      <c r="F481" s="78"/>
      <c r="G481" s="78"/>
      <c r="H481" s="79"/>
      <c r="I481" s="80"/>
      <c r="J481" s="77"/>
      <c r="K481" s="81" t="b">
        <v>0</v>
      </c>
      <c r="L481" s="78"/>
      <c r="M481" s="82"/>
      <c r="N481" s="78"/>
      <c r="O481" s="78"/>
      <c r="P481" s="78"/>
      <c r="Q481" s="78"/>
      <c r="R481" s="78"/>
      <c r="S481" s="78"/>
      <c r="T481" s="83"/>
    </row>
    <row r="482" spans="1:20" ht="15" customHeight="1" x14ac:dyDescent="0.3">
      <c r="A482" s="73"/>
      <c r="B482" s="74"/>
      <c r="C482" s="75"/>
      <c r="D482" s="76"/>
      <c r="E482" s="77"/>
      <c r="F482" s="78"/>
      <c r="G482" s="78"/>
      <c r="H482" s="79"/>
      <c r="I482" s="80"/>
      <c r="J482" s="77"/>
      <c r="K482" s="81" t="b">
        <v>0</v>
      </c>
      <c r="L482" s="78"/>
      <c r="M482" s="82"/>
      <c r="N482" s="78"/>
      <c r="O482" s="78"/>
      <c r="P482" s="78"/>
      <c r="Q482" s="78"/>
      <c r="R482" s="78"/>
      <c r="S482" s="78"/>
      <c r="T482" s="83"/>
    </row>
    <row r="483" spans="1:20" ht="15" customHeight="1" x14ac:dyDescent="0.3">
      <c r="A483" s="73"/>
      <c r="B483" s="74"/>
      <c r="C483" s="75"/>
      <c r="D483" s="76"/>
      <c r="E483" s="77"/>
      <c r="F483" s="78"/>
      <c r="G483" s="78"/>
      <c r="H483" s="79"/>
      <c r="I483" s="80"/>
      <c r="J483" s="77"/>
      <c r="K483" s="81" t="b">
        <v>0</v>
      </c>
      <c r="L483" s="78"/>
      <c r="M483" s="82"/>
      <c r="N483" s="78"/>
      <c r="O483" s="78"/>
      <c r="P483" s="78"/>
      <c r="Q483" s="78"/>
      <c r="R483" s="78"/>
      <c r="S483" s="78"/>
      <c r="T483" s="83"/>
    </row>
    <row r="484" spans="1:20" ht="15" customHeight="1" x14ac:dyDescent="0.3">
      <c r="A484" s="73"/>
      <c r="B484" s="74"/>
      <c r="C484" s="75"/>
      <c r="D484" s="76"/>
      <c r="E484" s="77"/>
      <c r="F484" s="78"/>
      <c r="G484" s="78"/>
      <c r="H484" s="79"/>
      <c r="I484" s="80"/>
      <c r="J484" s="77"/>
      <c r="K484" s="81" t="b">
        <v>0</v>
      </c>
      <c r="L484" s="78"/>
      <c r="M484" s="82"/>
      <c r="N484" s="78"/>
      <c r="O484" s="78"/>
      <c r="P484" s="78"/>
      <c r="Q484" s="78"/>
      <c r="R484" s="78"/>
      <c r="S484" s="78"/>
      <c r="T484" s="83"/>
    </row>
    <row r="485" spans="1:20" ht="15" customHeight="1" x14ac:dyDescent="0.3">
      <c r="A485" s="73"/>
      <c r="B485" s="74"/>
      <c r="C485" s="75"/>
      <c r="D485" s="76"/>
      <c r="E485" s="77"/>
      <c r="F485" s="78"/>
      <c r="G485" s="78"/>
      <c r="H485" s="79"/>
      <c r="I485" s="80"/>
      <c r="J485" s="77"/>
      <c r="K485" s="81" t="b">
        <v>0</v>
      </c>
      <c r="L485" s="78"/>
      <c r="M485" s="82"/>
      <c r="N485" s="78"/>
      <c r="O485" s="78"/>
      <c r="P485" s="78"/>
      <c r="Q485" s="78"/>
      <c r="R485" s="78"/>
      <c r="S485" s="78"/>
      <c r="T485" s="83"/>
    </row>
    <row r="486" spans="1:20" ht="15" customHeight="1" x14ac:dyDescent="0.3">
      <c r="A486" s="73"/>
      <c r="B486" s="74"/>
      <c r="C486" s="75"/>
      <c r="D486" s="76"/>
      <c r="E486" s="77"/>
      <c r="F486" s="78"/>
      <c r="G486" s="78"/>
      <c r="H486" s="79"/>
      <c r="I486" s="80"/>
      <c r="J486" s="77"/>
      <c r="K486" s="81" t="b">
        <v>0</v>
      </c>
      <c r="L486" s="78"/>
      <c r="M486" s="82"/>
      <c r="N486" s="78"/>
      <c r="O486" s="78"/>
      <c r="P486" s="78"/>
      <c r="Q486" s="78"/>
      <c r="R486" s="78"/>
      <c r="S486" s="78"/>
      <c r="T486" s="83"/>
    </row>
    <row r="487" spans="1:20" ht="15" customHeight="1" x14ac:dyDescent="0.3">
      <c r="A487" s="73"/>
      <c r="B487" s="74"/>
      <c r="C487" s="75"/>
      <c r="D487" s="76"/>
      <c r="E487" s="77"/>
      <c r="F487" s="78"/>
      <c r="G487" s="78"/>
      <c r="H487" s="79"/>
      <c r="I487" s="80"/>
      <c r="J487" s="77"/>
      <c r="K487" s="81" t="b">
        <v>0</v>
      </c>
      <c r="L487" s="78"/>
      <c r="M487" s="82"/>
      <c r="N487" s="78"/>
      <c r="O487" s="78"/>
      <c r="P487" s="78"/>
      <c r="Q487" s="78"/>
      <c r="R487" s="78"/>
      <c r="S487" s="78"/>
      <c r="T487" s="83"/>
    </row>
    <row r="488" spans="1:20" ht="15" customHeight="1" x14ac:dyDescent="0.3">
      <c r="A488" s="73"/>
      <c r="B488" s="74"/>
      <c r="C488" s="75"/>
      <c r="D488" s="76"/>
      <c r="E488" s="77"/>
      <c r="F488" s="78"/>
      <c r="G488" s="78"/>
      <c r="H488" s="79"/>
      <c r="I488" s="80"/>
      <c r="J488" s="77"/>
      <c r="K488" s="81" t="b">
        <v>0</v>
      </c>
      <c r="L488" s="78"/>
      <c r="M488" s="82"/>
      <c r="N488" s="78"/>
      <c r="O488" s="78"/>
      <c r="P488" s="78"/>
      <c r="Q488" s="78"/>
      <c r="R488" s="78"/>
      <c r="S488" s="78"/>
      <c r="T488" s="83"/>
    </row>
    <row r="489" spans="1:20" ht="15" customHeight="1" x14ac:dyDescent="0.3">
      <c r="A489" s="73"/>
      <c r="B489" s="74"/>
      <c r="C489" s="75"/>
      <c r="D489" s="76"/>
      <c r="E489" s="77"/>
      <c r="F489" s="78"/>
      <c r="G489" s="78"/>
      <c r="H489" s="79"/>
      <c r="I489" s="80"/>
      <c r="J489" s="77"/>
      <c r="K489" s="81" t="b">
        <v>0</v>
      </c>
      <c r="L489" s="78"/>
      <c r="M489" s="82"/>
      <c r="N489" s="78"/>
      <c r="O489" s="78"/>
      <c r="P489" s="78"/>
      <c r="Q489" s="78"/>
      <c r="R489" s="78"/>
      <c r="S489" s="78"/>
      <c r="T489" s="83"/>
    </row>
    <row r="490" spans="1:20" ht="15" customHeight="1" x14ac:dyDescent="0.3">
      <c r="A490" s="73"/>
      <c r="B490" s="74"/>
      <c r="C490" s="75"/>
      <c r="D490" s="76"/>
      <c r="E490" s="77"/>
      <c r="F490" s="78"/>
      <c r="G490" s="78"/>
      <c r="H490" s="79"/>
      <c r="I490" s="80"/>
      <c r="J490" s="77"/>
      <c r="K490" s="81" t="b">
        <v>0</v>
      </c>
      <c r="L490" s="78"/>
      <c r="M490" s="82"/>
      <c r="N490" s="78"/>
      <c r="O490" s="78"/>
      <c r="P490" s="78"/>
      <c r="Q490" s="78"/>
      <c r="R490" s="78"/>
      <c r="S490" s="78"/>
      <c r="T490" s="83"/>
    </row>
    <row r="491" spans="1:20" ht="15" customHeight="1" x14ac:dyDescent="0.3">
      <c r="A491" s="73"/>
      <c r="B491" s="74"/>
      <c r="C491" s="75"/>
      <c r="D491" s="76"/>
      <c r="E491" s="77"/>
      <c r="F491" s="78"/>
      <c r="G491" s="78"/>
      <c r="H491" s="79"/>
      <c r="I491" s="80"/>
      <c r="J491" s="77"/>
      <c r="K491" s="81" t="b">
        <v>0</v>
      </c>
      <c r="L491" s="78"/>
      <c r="M491" s="82"/>
      <c r="N491" s="78"/>
      <c r="O491" s="78"/>
      <c r="P491" s="78"/>
      <c r="Q491" s="78"/>
      <c r="R491" s="78"/>
      <c r="S491" s="78"/>
      <c r="T491" s="83"/>
    </row>
    <row r="492" spans="1:20" ht="15" customHeight="1" x14ac:dyDescent="0.3">
      <c r="A492" s="73"/>
      <c r="B492" s="74"/>
      <c r="C492" s="75"/>
      <c r="D492" s="76"/>
      <c r="E492" s="77"/>
      <c r="F492" s="78"/>
      <c r="G492" s="78"/>
      <c r="H492" s="79"/>
      <c r="I492" s="80"/>
      <c r="J492" s="77"/>
      <c r="K492" s="81" t="b">
        <v>0</v>
      </c>
      <c r="L492" s="78"/>
      <c r="M492" s="82"/>
      <c r="N492" s="78"/>
      <c r="O492" s="78"/>
      <c r="P492" s="78"/>
      <c r="Q492" s="78"/>
      <c r="R492" s="78"/>
      <c r="S492" s="78"/>
      <c r="T492" s="83"/>
    </row>
    <row r="493" spans="1:20" ht="15" customHeight="1" x14ac:dyDescent="0.3">
      <c r="A493" s="73"/>
      <c r="B493" s="74"/>
      <c r="C493" s="75"/>
      <c r="D493" s="76"/>
      <c r="E493" s="77"/>
      <c r="F493" s="78"/>
      <c r="G493" s="78"/>
      <c r="H493" s="79"/>
      <c r="I493" s="80"/>
      <c r="J493" s="77"/>
      <c r="K493" s="81" t="b">
        <v>0</v>
      </c>
      <c r="L493" s="78"/>
      <c r="M493" s="82"/>
      <c r="N493" s="78"/>
      <c r="O493" s="78"/>
      <c r="P493" s="78"/>
      <c r="Q493" s="78"/>
      <c r="R493" s="78"/>
      <c r="S493" s="78"/>
      <c r="T493" s="83"/>
    </row>
    <row r="494" spans="1:20" ht="15" customHeight="1" x14ac:dyDescent="0.3">
      <c r="A494" s="73"/>
      <c r="B494" s="74"/>
      <c r="C494" s="75"/>
      <c r="D494" s="76"/>
      <c r="E494" s="77"/>
      <c r="F494" s="78"/>
      <c r="G494" s="78"/>
      <c r="H494" s="79"/>
      <c r="I494" s="80"/>
      <c r="J494" s="77"/>
      <c r="K494" s="81" t="b">
        <v>0</v>
      </c>
      <c r="L494" s="78"/>
      <c r="M494" s="82"/>
      <c r="N494" s="78"/>
      <c r="O494" s="78"/>
      <c r="P494" s="78"/>
      <c r="Q494" s="78"/>
      <c r="R494" s="78"/>
      <c r="S494" s="78"/>
      <c r="T494" s="83"/>
    </row>
    <row r="495" spans="1:20" ht="15" customHeight="1" x14ac:dyDescent="0.3">
      <c r="A495" s="73"/>
      <c r="B495" s="74"/>
      <c r="C495" s="75"/>
      <c r="D495" s="76"/>
      <c r="E495" s="77"/>
      <c r="F495" s="78"/>
      <c r="G495" s="78"/>
      <c r="H495" s="79"/>
      <c r="I495" s="80"/>
      <c r="J495" s="77"/>
      <c r="K495" s="81" t="b">
        <v>0</v>
      </c>
      <c r="L495" s="78"/>
      <c r="M495" s="82"/>
      <c r="N495" s="78"/>
      <c r="O495" s="78"/>
      <c r="P495" s="78"/>
      <c r="Q495" s="78"/>
      <c r="R495" s="78"/>
      <c r="S495" s="78"/>
      <c r="T495" s="83"/>
    </row>
    <row r="496" spans="1:20" ht="15" customHeight="1" x14ac:dyDescent="0.3">
      <c r="A496" s="73"/>
      <c r="B496" s="74"/>
      <c r="C496" s="75"/>
      <c r="D496" s="76"/>
      <c r="E496" s="77"/>
      <c r="F496" s="78"/>
      <c r="G496" s="78"/>
      <c r="H496" s="79"/>
      <c r="I496" s="80"/>
      <c r="J496" s="77"/>
      <c r="K496" s="81" t="b">
        <v>0</v>
      </c>
      <c r="L496" s="78"/>
      <c r="M496" s="82"/>
      <c r="N496" s="78"/>
      <c r="O496" s="78"/>
      <c r="P496" s="78"/>
      <c r="Q496" s="78"/>
      <c r="R496" s="78"/>
      <c r="S496" s="78"/>
      <c r="T496" s="83"/>
    </row>
    <row r="497" spans="1:20" ht="15" customHeight="1" x14ac:dyDescent="0.3">
      <c r="A497" s="73"/>
      <c r="B497" s="74"/>
      <c r="C497" s="75"/>
      <c r="D497" s="76"/>
      <c r="E497" s="77"/>
      <c r="F497" s="78"/>
      <c r="G497" s="78"/>
      <c r="H497" s="79"/>
      <c r="I497" s="80"/>
      <c r="J497" s="77"/>
      <c r="K497" s="81" t="b">
        <v>0</v>
      </c>
      <c r="L497" s="78"/>
      <c r="M497" s="82"/>
      <c r="N497" s="78"/>
      <c r="O497" s="78"/>
      <c r="P497" s="78"/>
      <c r="Q497" s="78"/>
      <c r="R497" s="78"/>
      <c r="S497" s="78"/>
      <c r="T497" s="83"/>
    </row>
    <row r="498" spans="1:20" ht="15" customHeight="1" x14ac:dyDescent="0.3">
      <c r="A498" s="73"/>
      <c r="B498" s="74"/>
      <c r="C498" s="75"/>
      <c r="D498" s="76"/>
      <c r="E498" s="77"/>
      <c r="F498" s="78"/>
      <c r="G498" s="78"/>
      <c r="H498" s="79"/>
      <c r="I498" s="80"/>
      <c r="J498" s="77"/>
      <c r="K498" s="81" t="b">
        <v>0</v>
      </c>
      <c r="L498" s="78"/>
      <c r="M498" s="82"/>
      <c r="N498" s="78"/>
      <c r="O498" s="78"/>
      <c r="P498" s="78"/>
      <c r="Q498" s="78"/>
      <c r="R498" s="78"/>
      <c r="S498" s="78"/>
      <c r="T498" s="83"/>
    </row>
    <row r="499" spans="1:20" ht="15" customHeight="1" x14ac:dyDescent="0.3">
      <c r="A499" s="73"/>
      <c r="B499" s="74"/>
      <c r="C499" s="75"/>
      <c r="D499" s="76"/>
      <c r="E499" s="77"/>
      <c r="F499" s="78"/>
      <c r="G499" s="78"/>
      <c r="H499" s="79"/>
      <c r="I499" s="80"/>
      <c r="J499" s="77"/>
      <c r="K499" s="81" t="b">
        <v>0</v>
      </c>
      <c r="L499" s="78"/>
      <c r="M499" s="82"/>
      <c r="N499" s="78"/>
      <c r="O499" s="78"/>
      <c r="P499" s="78"/>
      <c r="Q499" s="78"/>
      <c r="R499" s="78"/>
      <c r="S499" s="78"/>
      <c r="T499" s="83"/>
    </row>
    <row r="500" spans="1:20" ht="15" customHeight="1" x14ac:dyDescent="0.3">
      <c r="A500" s="73"/>
      <c r="B500" s="74"/>
      <c r="C500" s="75"/>
      <c r="D500" s="76"/>
      <c r="E500" s="77"/>
      <c r="F500" s="78"/>
      <c r="G500" s="78"/>
      <c r="H500" s="79"/>
      <c r="I500" s="80"/>
      <c r="J500" s="77"/>
      <c r="K500" s="81" t="b">
        <v>0</v>
      </c>
      <c r="L500" s="78"/>
      <c r="M500" s="82"/>
      <c r="N500" s="78"/>
      <c r="O500" s="78"/>
      <c r="P500" s="78"/>
      <c r="Q500" s="78"/>
      <c r="R500" s="78"/>
      <c r="S500" s="78"/>
      <c r="T500" s="83"/>
    </row>
    <row r="501" spans="1:20" ht="15" customHeight="1" x14ac:dyDescent="0.3">
      <c r="A501" s="73"/>
      <c r="B501" s="74"/>
      <c r="C501" s="75"/>
      <c r="D501" s="76"/>
      <c r="E501" s="77"/>
      <c r="F501" s="78"/>
      <c r="G501" s="78"/>
      <c r="H501" s="79"/>
      <c r="I501" s="80"/>
      <c r="J501" s="77"/>
      <c r="K501" s="81" t="b">
        <v>0</v>
      </c>
      <c r="L501" s="78"/>
      <c r="M501" s="82"/>
      <c r="N501" s="78"/>
      <c r="O501" s="78"/>
      <c r="P501" s="78"/>
      <c r="Q501" s="78"/>
      <c r="R501" s="78"/>
      <c r="S501" s="78"/>
      <c r="T501" s="83"/>
    </row>
    <row r="502" spans="1:20" ht="15" customHeight="1" x14ac:dyDescent="0.3">
      <c r="A502" s="73"/>
      <c r="B502" s="74"/>
      <c r="C502" s="75"/>
      <c r="D502" s="76"/>
      <c r="E502" s="77"/>
      <c r="F502" s="78"/>
      <c r="G502" s="78"/>
      <c r="H502" s="79"/>
      <c r="I502" s="80"/>
      <c r="J502" s="77"/>
      <c r="K502" s="81" t="b">
        <v>0</v>
      </c>
      <c r="L502" s="78"/>
      <c r="M502" s="82"/>
      <c r="N502" s="78"/>
      <c r="O502" s="78"/>
      <c r="P502" s="78"/>
      <c r="Q502" s="78"/>
      <c r="R502" s="78"/>
      <c r="S502" s="78"/>
      <c r="T502" s="83"/>
    </row>
    <row r="503" spans="1:20" ht="15" customHeight="1" x14ac:dyDescent="0.3">
      <c r="A503" s="73"/>
      <c r="B503" s="74"/>
      <c r="C503" s="75"/>
      <c r="D503" s="76"/>
      <c r="E503" s="77"/>
      <c r="F503" s="78"/>
      <c r="G503" s="78"/>
      <c r="H503" s="79"/>
      <c r="I503" s="80"/>
      <c r="J503" s="77"/>
      <c r="K503" s="81" t="b">
        <v>0</v>
      </c>
      <c r="L503" s="78"/>
      <c r="M503" s="82"/>
      <c r="N503" s="78"/>
      <c r="O503" s="78"/>
      <c r="P503" s="78"/>
      <c r="Q503" s="78"/>
      <c r="R503" s="78"/>
      <c r="S503" s="78"/>
      <c r="T503" s="83"/>
    </row>
    <row r="504" spans="1:20" ht="15" customHeight="1" x14ac:dyDescent="0.3">
      <c r="A504" s="73"/>
      <c r="B504" s="74"/>
      <c r="C504" s="75"/>
      <c r="D504" s="76"/>
      <c r="E504" s="77"/>
      <c r="F504" s="78"/>
      <c r="G504" s="78"/>
      <c r="H504" s="79"/>
      <c r="I504" s="80"/>
      <c r="J504" s="77"/>
      <c r="K504" s="81" t="b">
        <v>0</v>
      </c>
      <c r="L504" s="78"/>
      <c r="M504" s="82"/>
      <c r="N504" s="78"/>
      <c r="O504" s="78"/>
      <c r="P504" s="78"/>
      <c r="Q504" s="78"/>
      <c r="R504" s="78"/>
      <c r="S504" s="78"/>
      <c r="T504" s="83"/>
    </row>
    <row r="505" spans="1:20" ht="15" customHeight="1" x14ac:dyDescent="0.3">
      <c r="A505" s="73"/>
      <c r="B505" s="74"/>
      <c r="C505" s="75"/>
      <c r="D505" s="76"/>
      <c r="E505" s="77"/>
      <c r="F505" s="78"/>
      <c r="G505" s="78"/>
      <c r="H505" s="79"/>
      <c r="I505" s="80"/>
      <c r="J505" s="77"/>
      <c r="K505" s="81" t="b">
        <v>0</v>
      </c>
      <c r="L505" s="78"/>
      <c r="M505" s="82"/>
      <c r="N505" s="78"/>
      <c r="O505" s="78"/>
      <c r="P505" s="78"/>
      <c r="Q505" s="78"/>
      <c r="R505" s="78"/>
      <c r="S505" s="78"/>
      <c r="T505" s="83"/>
    </row>
    <row r="506" spans="1:20" ht="15" customHeight="1" x14ac:dyDescent="0.3">
      <c r="A506" s="73"/>
      <c r="B506" s="74"/>
      <c r="C506" s="75"/>
      <c r="D506" s="76"/>
      <c r="E506" s="77"/>
      <c r="F506" s="78"/>
      <c r="G506" s="78"/>
      <c r="H506" s="79"/>
      <c r="I506" s="80"/>
      <c r="J506" s="77"/>
      <c r="K506" s="81" t="b">
        <v>0</v>
      </c>
      <c r="L506" s="78"/>
      <c r="M506" s="82"/>
      <c r="N506" s="78"/>
      <c r="O506" s="78"/>
      <c r="P506" s="78"/>
      <c r="Q506" s="78"/>
      <c r="R506" s="78"/>
      <c r="S506" s="78"/>
      <c r="T506" s="83"/>
    </row>
    <row r="507" spans="1:20" ht="15" customHeight="1" x14ac:dyDescent="0.3">
      <c r="A507" s="73"/>
      <c r="B507" s="74"/>
      <c r="C507" s="75"/>
      <c r="D507" s="76"/>
      <c r="E507" s="77"/>
      <c r="F507" s="78"/>
      <c r="G507" s="78"/>
      <c r="H507" s="79"/>
      <c r="I507" s="80"/>
      <c r="J507" s="77"/>
      <c r="K507" s="81" t="b">
        <v>0</v>
      </c>
      <c r="L507" s="78"/>
      <c r="M507" s="82"/>
      <c r="N507" s="78"/>
      <c r="O507" s="78"/>
      <c r="P507" s="78"/>
      <c r="Q507" s="78"/>
      <c r="R507" s="78"/>
      <c r="S507" s="78"/>
      <c r="T507" s="83"/>
    </row>
    <row r="508" spans="1:20" ht="15" customHeight="1" x14ac:dyDescent="0.3">
      <c r="A508" s="73"/>
      <c r="B508" s="74"/>
      <c r="C508" s="75"/>
      <c r="D508" s="76"/>
      <c r="E508" s="77"/>
      <c r="F508" s="78"/>
      <c r="G508" s="78"/>
      <c r="H508" s="79"/>
      <c r="I508" s="80"/>
      <c r="J508" s="77"/>
      <c r="K508" s="81" t="b">
        <v>0</v>
      </c>
      <c r="L508" s="78"/>
      <c r="M508" s="82"/>
      <c r="N508" s="78"/>
      <c r="O508" s="78"/>
      <c r="P508" s="78"/>
      <c r="Q508" s="78"/>
      <c r="R508" s="78"/>
      <c r="S508" s="78"/>
      <c r="T508" s="83"/>
    </row>
    <row r="509" spans="1:20" ht="15" customHeight="1" x14ac:dyDescent="0.3">
      <c r="A509" s="73"/>
      <c r="B509" s="74"/>
      <c r="C509" s="75"/>
      <c r="D509" s="76"/>
      <c r="E509" s="77"/>
      <c r="F509" s="78"/>
      <c r="G509" s="78"/>
      <c r="H509" s="79"/>
      <c r="I509" s="80"/>
      <c r="J509" s="77"/>
      <c r="K509" s="81" t="b">
        <v>0</v>
      </c>
      <c r="L509" s="78"/>
      <c r="M509" s="82"/>
      <c r="N509" s="78"/>
      <c r="O509" s="78"/>
      <c r="P509" s="78"/>
      <c r="Q509" s="78"/>
      <c r="R509" s="78"/>
      <c r="S509" s="78"/>
      <c r="T509" s="83"/>
    </row>
    <row r="510" spans="1:20" ht="15" customHeight="1" x14ac:dyDescent="0.3">
      <c r="A510" s="73"/>
      <c r="B510" s="74"/>
      <c r="C510" s="75"/>
      <c r="D510" s="76"/>
      <c r="E510" s="77"/>
      <c r="F510" s="78"/>
      <c r="G510" s="78"/>
      <c r="H510" s="79"/>
      <c r="I510" s="80"/>
      <c r="J510" s="77"/>
      <c r="K510" s="81" t="b">
        <v>0</v>
      </c>
      <c r="L510" s="78"/>
      <c r="M510" s="82"/>
      <c r="N510" s="78"/>
      <c r="O510" s="78"/>
      <c r="P510" s="78"/>
      <c r="Q510" s="78"/>
      <c r="R510" s="78"/>
      <c r="S510" s="78"/>
      <c r="T510" s="83"/>
    </row>
    <row r="511" spans="1:20" ht="15" customHeight="1" x14ac:dyDescent="0.3">
      <c r="A511" s="73"/>
      <c r="B511" s="74"/>
      <c r="C511" s="75"/>
      <c r="D511" s="76"/>
      <c r="E511" s="77"/>
      <c r="F511" s="78"/>
      <c r="G511" s="78"/>
      <c r="H511" s="79"/>
      <c r="I511" s="80"/>
      <c r="J511" s="77"/>
      <c r="K511" s="81" t="b">
        <v>0</v>
      </c>
      <c r="L511" s="78"/>
      <c r="M511" s="82"/>
      <c r="N511" s="78"/>
      <c r="O511" s="78"/>
      <c r="P511" s="78"/>
      <c r="Q511" s="78"/>
      <c r="R511" s="78"/>
      <c r="S511" s="78"/>
      <c r="T511" s="83"/>
    </row>
    <row r="512" spans="1:20" ht="15" customHeight="1" x14ac:dyDescent="0.3">
      <c r="A512" s="73"/>
      <c r="B512" s="74"/>
      <c r="C512" s="75"/>
      <c r="D512" s="76"/>
      <c r="E512" s="77"/>
      <c r="F512" s="78"/>
      <c r="G512" s="78"/>
      <c r="H512" s="79"/>
      <c r="I512" s="80"/>
      <c r="J512" s="77"/>
      <c r="K512" s="81" t="b">
        <v>0</v>
      </c>
      <c r="L512" s="78"/>
      <c r="M512" s="82"/>
      <c r="N512" s="78"/>
      <c r="O512" s="78"/>
      <c r="P512" s="78"/>
      <c r="Q512" s="78"/>
      <c r="R512" s="78"/>
      <c r="S512" s="78"/>
      <c r="T512" s="83"/>
    </row>
    <row r="513" spans="1:20" ht="15" customHeight="1" x14ac:dyDescent="0.3">
      <c r="A513" s="73"/>
      <c r="B513" s="74"/>
      <c r="C513" s="75"/>
      <c r="D513" s="76"/>
      <c r="E513" s="77"/>
      <c r="F513" s="78"/>
      <c r="G513" s="78"/>
      <c r="H513" s="79"/>
      <c r="I513" s="80"/>
      <c r="J513" s="77"/>
      <c r="K513" s="81" t="b">
        <v>0</v>
      </c>
      <c r="L513" s="78"/>
      <c r="M513" s="82"/>
      <c r="N513" s="78"/>
      <c r="O513" s="78"/>
      <c r="P513" s="78"/>
      <c r="Q513" s="78"/>
      <c r="R513" s="78"/>
      <c r="S513" s="78"/>
      <c r="T513" s="83"/>
    </row>
    <row r="514" spans="1:20" ht="15" customHeight="1" x14ac:dyDescent="0.3">
      <c r="A514" s="73"/>
      <c r="B514" s="74"/>
      <c r="C514" s="75"/>
      <c r="D514" s="76"/>
      <c r="E514" s="77"/>
      <c r="F514" s="78"/>
      <c r="G514" s="78"/>
      <c r="H514" s="79"/>
      <c r="I514" s="80"/>
      <c r="J514" s="77"/>
      <c r="K514" s="81" t="b">
        <v>0</v>
      </c>
      <c r="L514" s="78"/>
      <c r="M514" s="82"/>
      <c r="N514" s="78"/>
      <c r="O514" s="78"/>
      <c r="P514" s="78"/>
      <c r="Q514" s="78"/>
      <c r="R514" s="78"/>
      <c r="S514" s="78"/>
      <c r="T514" s="83"/>
    </row>
    <row r="515" spans="1:20" ht="15" customHeight="1" x14ac:dyDescent="0.3">
      <c r="A515" s="73"/>
      <c r="B515" s="74"/>
      <c r="C515" s="75"/>
      <c r="D515" s="76"/>
      <c r="E515" s="77"/>
      <c r="F515" s="78"/>
      <c r="G515" s="78"/>
      <c r="H515" s="79"/>
      <c r="I515" s="80"/>
      <c r="J515" s="77"/>
      <c r="K515" s="81" t="b">
        <v>0</v>
      </c>
      <c r="L515" s="78"/>
      <c r="M515" s="82"/>
      <c r="N515" s="78"/>
      <c r="O515" s="78"/>
      <c r="P515" s="78"/>
      <c r="Q515" s="78"/>
      <c r="R515" s="78"/>
      <c r="S515" s="78"/>
      <c r="T515" s="83"/>
    </row>
    <row r="516" spans="1:20" ht="15" customHeight="1" x14ac:dyDescent="0.3">
      <c r="A516" s="73"/>
      <c r="B516" s="74"/>
      <c r="C516" s="75"/>
      <c r="D516" s="76"/>
      <c r="E516" s="77"/>
      <c r="F516" s="78"/>
      <c r="G516" s="78"/>
      <c r="H516" s="79"/>
      <c r="I516" s="80"/>
      <c r="J516" s="77"/>
      <c r="K516" s="81" t="b">
        <v>0</v>
      </c>
      <c r="L516" s="78"/>
      <c r="M516" s="82"/>
      <c r="N516" s="78"/>
      <c r="O516" s="78"/>
      <c r="P516" s="78"/>
      <c r="Q516" s="78"/>
      <c r="R516" s="78"/>
      <c r="S516" s="78"/>
      <c r="T516" s="83"/>
    </row>
    <row r="517" spans="1:20" ht="15" customHeight="1" x14ac:dyDescent="0.3">
      <c r="A517" s="73"/>
      <c r="B517" s="74"/>
      <c r="C517" s="75"/>
      <c r="D517" s="76"/>
      <c r="E517" s="77"/>
      <c r="F517" s="78"/>
      <c r="G517" s="78"/>
      <c r="H517" s="79"/>
      <c r="I517" s="80"/>
      <c r="J517" s="77"/>
      <c r="K517" s="81" t="b">
        <v>0</v>
      </c>
      <c r="L517" s="78"/>
      <c r="M517" s="82"/>
      <c r="N517" s="78"/>
      <c r="O517" s="78"/>
      <c r="P517" s="78"/>
      <c r="Q517" s="78"/>
      <c r="R517" s="78"/>
      <c r="S517" s="78"/>
      <c r="T517" s="83"/>
    </row>
    <row r="518" spans="1:20" ht="15" customHeight="1" x14ac:dyDescent="0.3">
      <c r="A518" s="73"/>
      <c r="B518" s="74"/>
      <c r="C518" s="75"/>
      <c r="D518" s="76"/>
      <c r="E518" s="77"/>
      <c r="F518" s="78"/>
      <c r="G518" s="78"/>
      <c r="H518" s="79"/>
      <c r="I518" s="80"/>
      <c r="J518" s="77"/>
      <c r="K518" s="81" t="b">
        <v>0</v>
      </c>
      <c r="L518" s="78"/>
      <c r="M518" s="82"/>
      <c r="N518" s="78"/>
      <c r="O518" s="78"/>
      <c r="P518" s="78"/>
      <c r="Q518" s="78"/>
      <c r="R518" s="78"/>
      <c r="S518" s="78"/>
      <c r="T518" s="83"/>
    </row>
    <row r="519" spans="1:20" ht="15" customHeight="1" x14ac:dyDescent="0.3">
      <c r="A519" s="73"/>
      <c r="B519" s="74"/>
      <c r="C519" s="75"/>
      <c r="D519" s="76"/>
      <c r="E519" s="77"/>
      <c r="F519" s="78"/>
      <c r="G519" s="78"/>
      <c r="H519" s="79"/>
      <c r="I519" s="80"/>
      <c r="J519" s="77"/>
      <c r="K519" s="81" t="b">
        <v>0</v>
      </c>
      <c r="L519" s="78"/>
      <c r="M519" s="82"/>
      <c r="N519" s="78"/>
      <c r="O519" s="78"/>
      <c r="P519" s="78"/>
      <c r="Q519" s="78"/>
      <c r="R519" s="78"/>
      <c r="S519" s="78"/>
      <c r="T519" s="83"/>
    </row>
    <row r="520" spans="1:20" ht="15" customHeight="1" x14ac:dyDescent="0.3">
      <c r="A520" s="73"/>
      <c r="B520" s="74"/>
      <c r="C520" s="75"/>
      <c r="D520" s="76"/>
      <c r="E520" s="77"/>
      <c r="F520" s="78"/>
      <c r="G520" s="78"/>
      <c r="H520" s="79"/>
      <c r="I520" s="80"/>
      <c r="J520" s="77"/>
      <c r="K520" s="81" t="b">
        <v>0</v>
      </c>
      <c r="L520" s="78"/>
      <c r="M520" s="82"/>
      <c r="N520" s="78"/>
      <c r="O520" s="78"/>
      <c r="P520" s="78"/>
      <c r="Q520" s="78"/>
      <c r="R520" s="78"/>
      <c r="S520" s="78"/>
      <c r="T520" s="83"/>
    </row>
    <row r="521" spans="1:20" ht="15" customHeight="1" x14ac:dyDescent="0.3">
      <c r="A521" s="73"/>
      <c r="B521" s="74"/>
      <c r="C521" s="75"/>
      <c r="D521" s="76"/>
      <c r="E521" s="77"/>
      <c r="F521" s="78"/>
      <c r="G521" s="78"/>
      <c r="H521" s="79"/>
      <c r="I521" s="80"/>
      <c r="J521" s="77"/>
      <c r="K521" s="81" t="b">
        <v>0</v>
      </c>
      <c r="L521" s="78"/>
      <c r="M521" s="82"/>
      <c r="N521" s="78"/>
      <c r="O521" s="78"/>
      <c r="P521" s="78"/>
      <c r="Q521" s="78"/>
      <c r="R521" s="78"/>
      <c r="S521" s="78"/>
      <c r="T521" s="83"/>
    </row>
    <row r="522" spans="1:20" ht="15" customHeight="1" x14ac:dyDescent="0.3">
      <c r="A522" s="73"/>
      <c r="B522" s="74"/>
      <c r="C522" s="75"/>
      <c r="D522" s="76"/>
      <c r="E522" s="77"/>
      <c r="F522" s="78"/>
      <c r="G522" s="78"/>
      <c r="H522" s="79"/>
      <c r="I522" s="80"/>
      <c r="J522" s="77"/>
      <c r="K522" s="81" t="b">
        <v>0</v>
      </c>
      <c r="L522" s="78"/>
      <c r="M522" s="82"/>
      <c r="N522" s="78"/>
      <c r="O522" s="78"/>
      <c r="P522" s="78"/>
      <c r="Q522" s="78"/>
      <c r="R522" s="78"/>
      <c r="S522" s="78"/>
      <c r="T522" s="83"/>
    </row>
    <row r="523" spans="1:20" ht="15" customHeight="1" x14ac:dyDescent="0.3">
      <c r="A523" s="73"/>
      <c r="B523" s="74"/>
      <c r="C523" s="75"/>
      <c r="D523" s="76"/>
      <c r="E523" s="77"/>
      <c r="F523" s="78"/>
      <c r="G523" s="78"/>
      <c r="H523" s="79"/>
      <c r="I523" s="80"/>
      <c r="J523" s="77"/>
      <c r="K523" s="81" t="b">
        <v>0</v>
      </c>
      <c r="L523" s="78"/>
      <c r="M523" s="82"/>
      <c r="N523" s="78"/>
      <c r="O523" s="78"/>
      <c r="P523" s="78"/>
      <c r="Q523" s="78"/>
      <c r="R523" s="78"/>
      <c r="S523" s="78"/>
      <c r="T523" s="83"/>
    </row>
    <row r="524" spans="1:20" ht="15" customHeight="1" x14ac:dyDescent="0.3">
      <c r="A524" s="73"/>
      <c r="B524" s="74"/>
      <c r="C524" s="75"/>
      <c r="D524" s="76"/>
      <c r="E524" s="77"/>
      <c r="F524" s="78"/>
      <c r="G524" s="78"/>
      <c r="H524" s="79"/>
      <c r="I524" s="80"/>
      <c r="J524" s="77"/>
      <c r="K524" s="81" t="b">
        <v>0</v>
      </c>
      <c r="L524" s="78"/>
      <c r="M524" s="82"/>
      <c r="N524" s="78"/>
      <c r="O524" s="78"/>
      <c r="P524" s="78"/>
      <c r="Q524" s="78"/>
      <c r="R524" s="78"/>
      <c r="S524" s="78"/>
      <c r="T524" s="83"/>
    </row>
    <row r="525" spans="1:20" ht="15" customHeight="1" x14ac:dyDescent="0.3">
      <c r="A525" s="73"/>
      <c r="B525" s="74"/>
      <c r="C525" s="75"/>
      <c r="D525" s="76"/>
      <c r="E525" s="77"/>
      <c r="F525" s="78"/>
      <c r="G525" s="78"/>
      <c r="H525" s="79"/>
      <c r="I525" s="80"/>
      <c r="J525" s="77"/>
      <c r="K525" s="81" t="b">
        <v>0</v>
      </c>
      <c r="L525" s="78"/>
      <c r="M525" s="82"/>
      <c r="N525" s="78"/>
      <c r="O525" s="78"/>
      <c r="P525" s="78"/>
      <c r="Q525" s="78"/>
      <c r="R525" s="78"/>
      <c r="S525" s="78"/>
      <c r="T525" s="83"/>
    </row>
    <row r="526" spans="1:20" ht="15" customHeight="1" x14ac:dyDescent="0.3">
      <c r="A526" s="73"/>
      <c r="B526" s="74"/>
      <c r="C526" s="75"/>
      <c r="D526" s="76"/>
      <c r="E526" s="77"/>
      <c r="F526" s="78"/>
      <c r="G526" s="78"/>
      <c r="H526" s="79"/>
      <c r="I526" s="80"/>
      <c r="J526" s="77"/>
      <c r="K526" s="81" t="b">
        <v>0</v>
      </c>
      <c r="L526" s="78"/>
      <c r="M526" s="82"/>
      <c r="N526" s="78"/>
      <c r="O526" s="78"/>
      <c r="P526" s="78"/>
      <c r="Q526" s="78"/>
      <c r="R526" s="78"/>
      <c r="S526" s="78"/>
      <c r="T526" s="83"/>
    </row>
    <row r="527" spans="1:20" ht="15" customHeight="1" x14ac:dyDescent="0.3">
      <c r="A527" s="73"/>
      <c r="B527" s="74"/>
      <c r="C527" s="75"/>
      <c r="D527" s="76"/>
      <c r="E527" s="77"/>
      <c r="F527" s="78"/>
      <c r="G527" s="78"/>
      <c r="H527" s="79"/>
      <c r="I527" s="80"/>
      <c r="J527" s="77"/>
      <c r="K527" s="81" t="b">
        <v>0</v>
      </c>
      <c r="L527" s="78"/>
      <c r="M527" s="82"/>
      <c r="N527" s="78"/>
      <c r="O527" s="78"/>
      <c r="P527" s="78"/>
      <c r="Q527" s="78"/>
      <c r="R527" s="78"/>
      <c r="S527" s="78"/>
      <c r="T527" s="83"/>
    </row>
    <row r="528" spans="1:20" ht="15" customHeight="1" x14ac:dyDescent="0.3">
      <c r="A528" s="73"/>
      <c r="B528" s="74"/>
      <c r="C528" s="75"/>
      <c r="D528" s="76"/>
      <c r="E528" s="77"/>
      <c r="F528" s="78"/>
      <c r="G528" s="78"/>
      <c r="H528" s="79"/>
      <c r="I528" s="80"/>
      <c r="J528" s="77"/>
      <c r="K528" s="81" t="b">
        <v>0</v>
      </c>
      <c r="L528" s="78"/>
      <c r="M528" s="82"/>
      <c r="N528" s="78"/>
      <c r="O528" s="78"/>
      <c r="P528" s="78"/>
      <c r="Q528" s="78"/>
      <c r="R528" s="78"/>
      <c r="S528" s="78"/>
      <c r="T528" s="83"/>
    </row>
    <row r="529" spans="1:20" ht="15" customHeight="1" x14ac:dyDescent="0.3">
      <c r="A529" s="73"/>
      <c r="B529" s="74"/>
      <c r="C529" s="75"/>
      <c r="D529" s="76"/>
      <c r="E529" s="77"/>
      <c r="F529" s="78"/>
      <c r="G529" s="78"/>
      <c r="H529" s="79"/>
      <c r="I529" s="80"/>
      <c r="J529" s="77"/>
      <c r="K529" s="81" t="b">
        <v>0</v>
      </c>
      <c r="L529" s="78"/>
      <c r="M529" s="82"/>
      <c r="N529" s="78"/>
      <c r="O529" s="78"/>
      <c r="P529" s="78"/>
      <c r="Q529" s="78"/>
      <c r="R529" s="78"/>
      <c r="S529" s="78"/>
      <c r="T529" s="83"/>
    </row>
    <row r="530" spans="1:20" ht="15" customHeight="1" x14ac:dyDescent="0.3">
      <c r="A530" s="73"/>
      <c r="B530" s="74"/>
      <c r="C530" s="75"/>
      <c r="D530" s="76"/>
      <c r="E530" s="77"/>
      <c r="F530" s="78"/>
      <c r="G530" s="78"/>
      <c r="H530" s="79"/>
      <c r="I530" s="80"/>
      <c r="J530" s="77"/>
      <c r="K530" s="81" t="b">
        <v>0</v>
      </c>
      <c r="L530" s="78"/>
      <c r="M530" s="82"/>
      <c r="N530" s="78"/>
      <c r="O530" s="78"/>
      <c r="P530" s="78"/>
      <c r="Q530" s="78"/>
      <c r="R530" s="78"/>
      <c r="S530" s="78"/>
      <c r="T530" s="83"/>
    </row>
    <row r="531" spans="1:20" ht="15" customHeight="1" x14ac:dyDescent="0.3">
      <c r="A531" s="73"/>
      <c r="B531" s="74"/>
      <c r="C531" s="75"/>
      <c r="D531" s="76"/>
      <c r="E531" s="77"/>
      <c r="F531" s="78"/>
      <c r="G531" s="78"/>
      <c r="H531" s="79"/>
      <c r="I531" s="80"/>
      <c r="J531" s="77"/>
      <c r="K531" s="81" t="b">
        <v>0</v>
      </c>
      <c r="L531" s="78"/>
      <c r="M531" s="82"/>
      <c r="N531" s="78"/>
      <c r="O531" s="78"/>
      <c r="P531" s="78"/>
      <c r="Q531" s="78"/>
      <c r="R531" s="78"/>
      <c r="S531" s="78"/>
      <c r="T531" s="83"/>
    </row>
    <row r="532" spans="1:20" ht="15" customHeight="1" x14ac:dyDescent="0.3">
      <c r="A532" s="73"/>
      <c r="B532" s="74"/>
      <c r="C532" s="75"/>
      <c r="D532" s="76"/>
      <c r="E532" s="77"/>
      <c r="F532" s="78"/>
      <c r="G532" s="78"/>
      <c r="H532" s="79"/>
      <c r="I532" s="80"/>
      <c r="J532" s="77"/>
      <c r="K532" s="81" t="b">
        <v>0</v>
      </c>
      <c r="L532" s="78"/>
      <c r="M532" s="82"/>
      <c r="N532" s="78"/>
      <c r="O532" s="78"/>
      <c r="P532" s="78"/>
      <c r="Q532" s="78"/>
      <c r="R532" s="78"/>
      <c r="S532" s="78"/>
      <c r="T532" s="83"/>
    </row>
    <row r="533" spans="1:20" ht="15" customHeight="1" x14ac:dyDescent="0.3">
      <c r="A533" s="73"/>
      <c r="B533" s="74"/>
      <c r="C533" s="75"/>
      <c r="D533" s="76"/>
      <c r="E533" s="77"/>
      <c r="F533" s="78"/>
      <c r="G533" s="78"/>
      <c r="H533" s="79"/>
      <c r="I533" s="80"/>
      <c r="J533" s="77"/>
      <c r="K533" s="81" t="b">
        <v>0</v>
      </c>
      <c r="L533" s="78"/>
      <c r="M533" s="82"/>
      <c r="N533" s="78"/>
      <c r="O533" s="78"/>
      <c r="P533" s="78"/>
      <c r="Q533" s="78"/>
      <c r="R533" s="78"/>
      <c r="S533" s="78"/>
      <c r="T533" s="83"/>
    </row>
    <row r="534" spans="1:20" ht="15" customHeight="1" x14ac:dyDescent="0.3">
      <c r="A534" s="73"/>
      <c r="B534" s="74"/>
      <c r="C534" s="75"/>
      <c r="D534" s="76"/>
      <c r="E534" s="77"/>
      <c r="F534" s="78"/>
      <c r="G534" s="78"/>
      <c r="H534" s="79"/>
      <c r="I534" s="80"/>
      <c r="J534" s="77"/>
      <c r="K534" s="81" t="b">
        <v>0</v>
      </c>
      <c r="L534" s="78"/>
      <c r="M534" s="82"/>
      <c r="N534" s="78"/>
      <c r="O534" s="78"/>
      <c r="P534" s="78"/>
      <c r="Q534" s="78"/>
      <c r="R534" s="78"/>
      <c r="S534" s="78"/>
      <c r="T534" s="83"/>
    </row>
    <row r="535" spans="1:20" ht="15" customHeight="1" x14ac:dyDescent="0.3">
      <c r="A535" s="73"/>
      <c r="B535" s="74"/>
      <c r="C535" s="75"/>
      <c r="D535" s="76"/>
      <c r="E535" s="77"/>
      <c r="F535" s="78"/>
      <c r="G535" s="78"/>
      <c r="H535" s="79"/>
      <c r="I535" s="80"/>
      <c r="J535" s="77"/>
      <c r="K535" s="81" t="b">
        <v>0</v>
      </c>
      <c r="L535" s="78"/>
      <c r="M535" s="82"/>
      <c r="N535" s="78"/>
      <c r="O535" s="78"/>
      <c r="P535" s="78"/>
      <c r="Q535" s="78"/>
      <c r="R535" s="78"/>
      <c r="S535" s="78"/>
      <c r="T535" s="83"/>
    </row>
    <row r="536" spans="1:20" ht="15" customHeight="1" x14ac:dyDescent="0.3">
      <c r="A536" s="73"/>
      <c r="B536" s="74"/>
      <c r="C536" s="75"/>
      <c r="D536" s="76"/>
      <c r="E536" s="77"/>
      <c r="F536" s="78"/>
      <c r="G536" s="78"/>
      <c r="H536" s="79"/>
      <c r="I536" s="80"/>
      <c r="J536" s="77"/>
      <c r="K536" s="81" t="b">
        <v>0</v>
      </c>
      <c r="L536" s="78"/>
      <c r="M536" s="82"/>
      <c r="N536" s="78"/>
      <c r="O536" s="78"/>
      <c r="P536" s="78"/>
      <c r="Q536" s="78"/>
      <c r="R536" s="78"/>
      <c r="S536" s="78"/>
      <c r="T536" s="83"/>
    </row>
    <row r="537" spans="1:20" ht="15" customHeight="1" x14ac:dyDescent="0.3">
      <c r="A537" s="73"/>
      <c r="B537" s="74"/>
      <c r="C537" s="75"/>
      <c r="D537" s="76"/>
      <c r="E537" s="77"/>
      <c r="F537" s="78"/>
      <c r="G537" s="78"/>
      <c r="H537" s="79"/>
      <c r="I537" s="80"/>
      <c r="J537" s="77"/>
      <c r="K537" s="81" t="b">
        <v>0</v>
      </c>
      <c r="L537" s="78"/>
      <c r="M537" s="82"/>
      <c r="N537" s="78"/>
      <c r="O537" s="78"/>
      <c r="P537" s="78"/>
      <c r="Q537" s="78"/>
      <c r="R537" s="78"/>
      <c r="S537" s="78"/>
      <c r="T537" s="83"/>
    </row>
    <row r="538" spans="1:20" ht="15" customHeight="1" x14ac:dyDescent="0.3">
      <c r="A538" s="73"/>
      <c r="B538" s="74"/>
      <c r="C538" s="75"/>
      <c r="D538" s="76"/>
      <c r="E538" s="77"/>
      <c r="F538" s="78"/>
      <c r="G538" s="78"/>
      <c r="H538" s="79"/>
      <c r="I538" s="80"/>
      <c r="J538" s="77"/>
      <c r="K538" s="81" t="b">
        <v>0</v>
      </c>
      <c r="L538" s="78"/>
      <c r="M538" s="82"/>
      <c r="N538" s="78"/>
      <c r="O538" s="78"/>
      <c r="P538" s="78"/>
      <c r="Q538" s="78"/>
      <c r="R538" s="78"/>
      <c r="S538" s="78"/>
      <c r="T538" s="83"/>
    </row>
    <row r="539" spans="1:20" ht="15" customHeight="1" x14ac:dyDescent="0.3">
      <c r="A539" s="73"/>
      <c r="B539" s="74"/>
      <c r="C539" s="75"/>
      <c r="D539" s="76"/>
      <c r="E539" s="77"/>
      <c r="F539" s="78"/>
      <c r="G539" s="78"/>
      <c r="H539" s="79"/>
      <c r="I539" s="80"/>
      <c r="J539" s="77"/>
      <c r="K539" s="81" t="b">
        <v>0</v>
      </c>
      <c r="L539" s="78"/>
      <c r="M539" s="82"/>
      <c r="N539" s="78"/>
      <c r="O539" s="78"/>
      <c r="P539" s="78"/>
      <c r="Q539" s="78"/>
      <c r="R539" s="78"/>
      <c r="S539" s="78"/>
      <c r="T539" s="83"/>
    </row>
    <row r="540" spans="1:20" ht="15" customHeight="1" x14ac:dyDescent="0.3">
      <c r="A540" s="73"/>
      <c r="B540" s="74"/>
      <c r="C540" s="75"/>
      <c r="D540" s="76"/>
      <c r="E540" s="77"/>
      <c r="F540" s="78"/>
      <c r="G540" s="78"/>
      <c r="H540" s="79"/>
      <c r="I540" s="80"/>
      <c r="J540" s="77"/>
      <c r="K540" s="81" t="b">
        <v>0</v>
      </c>
      <c r="L540" s="78"/>
      <c r="M540" s="82"/>
      <c r="N540" s="78"/>
      <c r="O540" s="78"/>
      <c r="P540" s="78"/>
      <c r="Q540" s="78"/>
      <c r="R540" s="78"/>
      <c r="S540" s="78"/>
      <c r="T540" s="83"/>
    </row>
    <row r="541" spans="1:20" ht="15" customHeight="1" x14ac:dyDescent="0.3">
      <c r="A541" s="73"/>
      <c r="B541" s="74"/>
      <c r="C541" s="75"/>
      <c r="D541" s="76"/>
      <c r="E541" s="77"/>
      <c r="F541" s="78"/>
      <c r="G541" s="78"/>
      <c r="H541" s="79"/>
      <c r="I541" s="80"/>
      <c r="J541" s="77"/>
      <c r="K541" s="81" t="b">
        <v>0</v>
      </c>
      <c r="L541" s="78"/>
      <c r="M541" s="82"/>
      <c r="N541" s="78"/>
      <c r="O541" s="78"/>
      <c r="P541" s="78"/>
      <c r="Q541" s="78"/>
      <c r="R541" s="78"/>
      <c r="S541" s="78"/>
      <c r="T541" s="83"/>
    </row>
    <row r="542" spans="1:20" ht="15" customHeight="1" x14ac:dyDescent="0.3">
      <c r="A542" s="73"/>
      <c r="B542" s="74"/>
      <c r="C542" s="75"/>
      <c r="D542" s="76"/>
      <c r="E542" s="77"/>
      <c r="F542" s="78"/>
      <c r="G542" s="78"/>
      <c r="H542" s="79"/>
      <c r="I542" s="80"/>
      <c r="J542" s="77"/>
      <c r="K542" s="81" t="b">
        <v>0</v>
      </c>
      <c r="L542" s="78"/>
      <c r="M542" s="82"/>
      <c r="N542" s="78"/>
      <c r="O542" s="78"/>
      <c r="P542" s="78"/>
      <c r="Q542" s="78"/>
      <c r="R542" s="78"/>
      <c r="S542" s="78"/>
      <c r="T542" s="83"/>
    </row>
    <row r="543" spans="1:20" ht="15" customHeight="1" x14ac:dyDescent="0.3">
      <c r="A543" s="73"/>
      <c r="B543" s="74"/>
      <c r="C543" s="75"/>
      <c r="D543" s="76"/>
      <c r="E543" s="77"/>
      <c r="F543" s="78"/>
      <c r="G543" s="78"/>
      <c r="H543" s="79"/>
      <c r="I543" s="80"/>
      <c r="J543" s="77"/>
      <c r="K543" s="81" t="b">
        <v>0</v>
      </c>
      <c r="L543" s="78"/>
      <c r="M543" s="82"/>
      <c r="N543" s="78"/>
      <c r="O543" s="78"/>
      <c r="P543" s="78"/>
      <c r="Q543" s="78"/>
      <c r="R543" s="78"/>
      <c r="S543" s="78"/>
      <c r="T543" s="83"/>
    </row>
    <row r="544" spans="1:20" ht="15" customHeight="1" x14ac:dyDescent="0.3">
      <c r="A544" s="73"/>
      <c r="B544" s="74"/>
      <c r="C544" s="75"/>
      <c r="D544" s="76"/>
      <c r="E544" s="77"/>
      <c r="F544" s="78"/>
      <c r="G544" s="78"/>
      <c r="H544" s="79"/>
      <c r="I544" s="80"/>
      <c r="J544" s="77"/>
      <c r="K544" s="81" t="b">
        <v>0</v>
      </c>
      <c r="L544" s="78"/>
      <c r="M544" s="82"/>
      <c r="N544" s="78"/>
      <c r="O544" s="78"/>
      <c r="P544" s="78"/>
      <c r="Q544" s="78"/>
      <c r="R544" s="78"/>
      <c r="S544" s="78"/>
      <c r="T544" s="83"/>
    </row>
    <row r="545" spans="1:20" ht="15" customHeight="1" x14ac:dyDescent="0.3">
      <c r="A545" s="73"/>
      <c r="B545" s="74"/>
      <c r="C545" s="75"/>
      <c r="D545" s="76"/>
      <c r="E545" s="77"/>
      <c r="F545" s="78"/>
      <c r="G545" s="78"/>
      <c r="H545" s="79"/>
      <c r="I545" s="80"/>
      <c r="J545" s="77"/>
      <c r="K545" s="81" t="b">
        <v>0</v>
      </c>
      <c r="L545" s="78"/>
      <c r="M545" s="82"/>
      <c r="N545" s="78"/>
      <c r="O545" s="78"/>
      <c r="P545" s="78"/>
      <c r="Q545" s="78"/>
      <c r="R545" s="78"/>
      <c r="S545" s="78"/>
      <c r="T545" s="83"/>
    </row>
    <row r="546" spans="1:20" ht="15" customHeight="1" x14ac:dyDescent="0.3">
      <c r="A546" s="73"/>
      <c r="B546" s="74"/>
      <c r="C546" s="75"/>
      <c r="D546" s="76"/>
      <c r="E546" s="77"/>
      <c r="F546" s="78"/>
      <c r="G546" s="78"/>
      <c r="H546" s="79"/>
      <c r="I546" s="80"/>
      <c r="J546" s="77"/>
      <c r="K546" s="81" t="b">
        <v>0</v>
      </c>
      <c r="L546" s="78"/>
      <c r="M546" s="82"/>
      <c r="N546" s="78"/>
      <c r="O546" s="78"/>
      <c r="P546" s="78"/>
      <c r="Q546" s="78"/>
      <c r="R546" s="78"/>
      <c r="S546" s="78"/>
      <c r="T546" s="83"/>
    </row>
    <row r="547" spans="1:20" ht="15" customHeight="1" x14ac:dyDescent="0.3">
      <c r="A547" s="73"/>
      <c r="B547" s="74"/>
      <c r="C547" s="75"/>
      <c r="D547" s="76"/>
      <c r="E547" s="77"/>
      <c r="F547" s="78"/>
      <c r="G547" s="78"/>
      <c r="H547" s="79"/>
      <c r="I547" s="80"/>
      <c r="J547" s="77"/>
      <c r="K547" s="81" t="b">
        <v>0</v>
      </c>
      <c r="L547" s="78"/>
      <c r="M547" s="82"/>
      <c r="N547" s="78"/>
      <c r="O547" s="78"/>
      <c r="P547" s="78"/>
      <c r="Q547" s="78"/>
      <c r="R547" s="78"/>
      <c r="S547" s="78"/>
      <c r="T547" s="83"/>
    </row>
    <row r="548" spans="1:20" ht="15" customHeight="1" x14ac:dyDescent="0.3">
      <c r="A548" s="73"/>
      <c r="B548" s="74"/>
      <c r="C548" s="75"/>
      <c r="D548" s="76"/>
      <c r="E548" s="77"/>
      <c r="F548" s="78"/>
      <c r="G548" s="78"/>
      <c r="H548" s="79"/>
      <c r="I548" s="80"/>
      <c r="J548" s="77"/>
      <c r="K548" s="81" t="b">
        <v>0</v>
      </c>
      <c r="L548" s="78"/>
      <c r="M548" s="82"/>
      <c r="N548" s="78"/>
      <c r="O548" s="78"/>
      <c r="P548" s="78"/>
      <c r="Q548" s="78"/>
      <c r="R548" s="78"/>
      <c r="S548" s="78"/>
      <c r="T548" s="83"/>
    </row>
    <row r="549" spans="1:20" ht="15" customHeight="1" x14ac:dyDescent="0.3">
      <c r="A549" s="73"/>
      <c r="B549" s="74"/>
      <c r="C549" s="75"/>
      <c r="D549" s="76"/>
      <c r="E549" s="77"/>
      <c r="F549" s="78"/>
      <c r="G549" s="78"/>
      <c r="H549" s="79"/>
      <c r="I549" s="80"/>
      <c r="J549" s="77"/>
      <c r="K549" s="81" t="b">
        <v>0</v>
      </c>
      <c r="L549" s="78"/>
      <c r="M549" s="82"/>
      <c r="N549" s="78"/>
      <c r="O549" s="78"/>
      <c r="P549" s="78"/>
      <c r="Q549" s="78"/>
      <c r="R549" s="78"/>
      <c r="S549" s="78"/>
      <c r="T549" s="83"/>
    </row>
    <row r="550" spans="1:20" ht="15" customHeight="1" x14ac:dyDescent="0.3">
      <c r="A550" s="73"/>
      <c r="B550" s="74"/>
      <c r="C550" s="75"/>
      <c r="D550" s="76"/>
      <c r="E550" s="77"/>
      <c r="F550" s="78"/>
      <c r="G550" s="78"/>
      <c r="H550" s="79"/>
      <c r="I550" s="80"/>
      <c r="J550" s="77"/>
      <c r="K550" s="81" t="b">
        <v>0</v>
      </c>
      <c r="L550" s="78"/>
      <c r="M550" s="82"/>
      <c r="N550" s="78"/>
      <c r="O550" s="78"/>
      <c r="P550" s="78"/>
      <c r="Q550" s="78"/>
      <c r="R550" s="78"/>
      <c r="S550" s="78"/>
      <c r="T550" s="83"/>
    </row>
    <row r="551" spans="1:20" ht="15" customHeight="1" x14ac:dyDescent="0.3">
      <c r="A551" s="73"/>
      <c r="B551" s="74"/>
      <c r="C551" s="75"/>
      <c r="D551" s="76"/>
      <c r="E551" s="77"/>
      <c r="F551" s="78"/>
      <c r="G551" s="78"/>
      <c r="H551" s="79"/>
      <c r="I551" s="80"/>
      <c r="J551" s="77"/>
      <c r="K551" s="81" t="b">
        <v>0</v>
      </c>
      <c r="L551" s="78"/>
      <c r="M551" s="82"/>
      <c r="N551" s="78"/>
      <c r="O551" s="78"/>
      <c r="P551" s="78"/>
      <c r="Q551" s="78"/>
      <c r="R551" s="78"/>
      <c r="S551" s="78"/>
      <c r="T551" s="83"/>
    </row>
    <row r="552" spans="1:20" ht="15" customHeight="1" x14ac:dyDescent="0.3">
      <c r="A552" s="73"/>
      <c r="B552" s="74"/>
      <c r="C552" s="75"/>
      <c r="D552" s="76"/>
      <c r="E552" s="77"/>
      <c r="F552" s="78"/>
      <c r="G552" s="78"/>
      <c r="H552" s="79"/>
      <c r="I552" s="80"/>
      <c r="J552" s="77"/>
      <c r="K552" s="81" t="b">
        <v>0</v>
      </c>
      <c r="L552" s="78"/>
      <c r="M552" s="82"/>
      <c r="N552" s="78"/>
      <c r="O552" s="78"/>
      <c r="P552" s="78"/>
      <c r="Q552" s="78"/>
      <c r="R552" s="78"/>
      <c r="S552" s="78"/>
      <c r="T552" s="83"/>
    </row>
    <row r="553" spans="1:20" ht="15" customHeight="1" x14ac:dyDescent="0.3">
      <c r="A553" s="73"/>
      <c r="B553" s="74"/>
      <c r="C553" s="75"/>
      <c r="D553" s="76"/>
      <c r="E553" s="77"/>
      <c r="F553" s="78"/>
      <c r="G553" s="78"/>
      <c r="H553" s="79"/>
      <c r="I553" s="80"/>
      <c r="J553" s="77"/>
      <c r="K553" s="81" t="b">
        <v>0</v>
      </c>
      <c r="L553" s="78"/>
      <c r="M553" s="82"/>
      <c r="N553" s="78"/>
      <c r="O553" s="78"/>
      <c r="P553" s="78"/>
      <c r="Q553" s="78"/>
      <c r="R553" s="78"/>
      <c r="S553" s="78"/>
      <c r="T553" s="83"/>
    </row>
    <row r="554" spans="1:20" ht="15" customHeight="1" x14ac:dyDescent="0.3">
      <c r="A554" s="73"/>
      <c r="B554" s="74"/>
      <c r="C554" s="75"/>
      <c r="D554" s="76"/>
      <c r="E554" s="77"/>
      <c r="F554" s="78"/>
      <c r="G554" s="78"/>
      <c r="H554" s="79"/>
      <c r="I554" s="80"/>
      <c r="J554" s="77"/>
      <c r="K554" s="81" t="b">
        <v>0</v>
      </c>
      <c r="L554" s="78"/>
      <c r="M554" s="82"/>
      <c r="N554" s="78"/>
      <c r="O554" s="78"/>
      <c r="P554" s="78"/>
      <c r="Q554" s="78"/>
      <c r="R554" s="78"/>
      <c r="S554" s="78"/>
      <c r="T554" s="83"/>
    </row>
    <row r="555" spans="1:20" ht="15" customHeight="1" x14ac:dyDescent="0.3">
      <c r="A555" s="73"/>
      <c r="B555" s="74"/>
      <c r="C555" s="75"/>
      <c r="D555" s="76"/>
      <c r="E555" s="77"/>
      <c r="F555" s="78"/>
      <c r="G555" s="78"/>
      <c r="H555" s="79"/>
      <c r="I555" s="80"/>
      <c r="J555" s="77"/>
      <c r="K555" s="81" t="b">
        <v>0</v>
      </c>
      <c r="L555" s="78"/>
      <c r="M555" s="82"/>
      <c r="N555" s="78"/>
      <c r="O555" s="78"/>
      <c r="P555" s="78"/>
      <c r="Q555" s="78"/>
      <c r="R555" s="78"/>
      <c r="S555" s="78"/>
      <c r="T555" s="83"/>
    </row>
    <row r="556" spans="1:20" ht="15" customHeight="1" x14ac:dyDescent="0.3">
      <c r="A556" s="73"/>
      <c r="B556" s="74"/>
      <c r="C556" s="75"/>
      <c r="D556" s="76"/>
      <c r="E556" s="77"/>
      <c r="F556" s="78"/>
      <c r="G556" s="78"/>
      <c r="H556" s="79"/>
      <c r="I556" s="80"/>
      <c r="J556" s="77"/>
      <c r="K556" s="81" t="b">
        <v>0</v>
      </c>
      <c r="L556" s="78"/>
      <c r="M556" s="82"/>
      <c r="N556" s="78"/>
      <c r="O556" s="78"/>
      <c r="P556" s="78"/>
      <c r="Q556" s="78"/>
      <c r="R556" s="78"/>
      <c r="S556" s="78"/>
      <c r="T556" s="83"/>
    </row>
    <row r="557" spans="1:20" ht="15" customHeight="1" x14ac:dyDescent="0.3">
      <c r="A557" s="73"/>
      <c r="B557" s="74"/>
      <c r="C557" s="75"/>
      <c r="D557" s="76"/>
      <c r="E557" s="77"/>
      <c r="F557" s="78"/>
      <c r="G557" s="78"/>
      <c r="H557" s="79"/>
      <c r="I557" s="80"/>
      <c r="J557" s="77"/>
      <c r="K557" s="81" t="b">
        <v>0</v>
      </c>
      <c r="L557" s="78"/>
      <c r="M557" s="82"/>
      <c r="N557" s="78"/>
      <c r="O557" s="78"/>
      <c r="P557" s="78"/>
      <c r="Q557" s="78"/>
      <c r="R557" s="78"/>
      <c r="S557" s="78"/>
      <c r="T557" s="83"/>
    </row>
    <row r="558" spans="1:20" ht="15" customHeight="1" x14ac:dyDescent="0.3">
      <c r="A558" s="73"/>
      <c r="B558" s="74"/>
      <c r="C558" s="75"/>
      <c r="D558" s="76"/>
      <c r="E558" s="77"/>
      <c r="F558" s="78"/>
      <c r="G558" s="78"/>
      <c r="H558" s="79"/>
      <c r="I558" s="80"/>
      <c r="J558" s="77"/>
      <c r="K558" s="81" t="b">
        <v>0</v>
      </c>
      <c r="L558" s="78"/>
      <c r="M558" s="82"/>
      <c r="N558" s="78"/>
      <c r="O558" s="78"/>
      <c r="P558" s="78"/>
      <c r="Q558" s="78"/>
      <c r="R558" s="78"/>
      <c r="S558" s="78"/>
      <c r="T558" s="83"/>
    </row>
    <row r="559" spans="1:20" ht="15" customHeight="1" x14ac:dyDescent="0.3">
      <c r="A559" s="73"/>
      <c r="B559" s="74"/>
      <c r="C559" s="75"/>
      <c r="D559" s="76"/>
      <c r="E559" s="77"/>
      <c r="F559" s="78"/>
      <c r="G559" s="78"/>
      <c r="H559" s="79"/>
      <c r="I559" s="80"/>
      <c r="J559" s="77"/>
      <c r="K559" s="81" t="b">
        <v>0</v>
      </c>
      <c r="L559" s="78"/>
      <c r="M559" s="82"/>
      <c r="N559" s="78"/>
      <c r="O559" s="78"/>
      <c r="P559" s="78"/>
      <c r="Q559" s="78"/>
      <c r="R559" s="78"/>
      <c r="S559" s="78"/>
      <c r="T559" s="83"/>
    </row>
    <row r="560" spans="1:20" ht="15" customHeight="1" x14ac:dyDescent="0.3">
      <c r="A560" s="73"/>
      <c r="B560" s="74"/>
      <c r="C560" s="75"/>
      <c r="D560" s="76"/>
      <c r="E560" s="77"/>
      <c r="F560" s="78"/>
      <c r="G560" s="78"/>
      <c r="H560" s="79"/>
      <c r="I560" s="80"/>
      <c r="J560" s="77"/>
      <c r="K560" s="81" t="b">
        <v>0</v>
      </c>
      <c r="L560" s="78"/>
      <c r="M560" s="82"/>
      <c r="N560" s="78"/>
      <c r="O560" s="78"/>
      <c r="P560" s="78"/>
      <c r="Q560" s="78"/>
      <c r="R560" s="78"/>
      <c r="S560" s="78"/>
      <c r="T560" s="83"/>
    </row>
    <row r="561" spans="1:20" ht="15" customHeight="1" x14ac:dyDescent="0.3">
      <c r="A561" s="73"/>
      <c r="B561" s="74"/>
      <c r="C561" s="75"/>
      <c r="D561" s="76"/>
      <c r="E561" s="77"/>
      <c r="F561" s="78"/>
      <c r="G561" s="78"/>
      <c r="H561" s="79"/>
      <c r="I561" s="80"/>
      <c r="J561" s="77"/>
      <c r="K561" s="81" t="b">
        <v>0</v>
      </c>
      <c r="L561" s="78"/>
      <c r="M561" s="82"/>
      <c r="N561" s="78"/>
      <c r="O561" s="78"/>
      <c r="P561" s="78"/>
      <c r="Q561" s="78"/>
      <c r="R561" s="78"/>
      <c r="S561" s="78"/>
      <c r="T561" s="83"/>
    </row>
    <row r="562" spans="1:20" ht="15" customHeight="1" x14ac:dyDescent="0.3">
      <c r="A562" s="73"/>
      <c r="B562" s="74"/>
      <c r="C562" s="75"/>
      <c r="D562" s="76"/>
      <c r="E562" s="77"/>
      <c r="F562" s="78"/>
      <c r="G562" s="78"/>
      <c r="H562" s="79"/>
      <c r="I562" s="80"/>
      <c r="J562" s="77"/>
      <c r="K562" s="81" t="b">
        <v>0</v>
      </c>
      <c r="L562" s="78"/>
      <c r="M562" s="82"/>
      <c r="N562" s="78"/>
      <c r="O562" s="78"/>
      <c r="P562" s="78"/>
      <c r="Q562" s="78"/>
      <c r="R562" s="78"/>
      <c r="S562" s="78"/>
      <c r="T562" s="83"/>
    </row>
    <row r="563" spans="1:20" ht="15" customHeight="1" x14ac:dyDescent="0.3">
      <c r="A563" s="73"/>
      <c r="B563" s="74"/>
      <c r="C563" s="75"/>
      <c r="D563" s="76"/>
      <c r="E563" s="77"/>
      <c r="F563" s="78"/>
      <c r="G563" s="78"/>
      <c r="H563" s="79"/>
      <c r="I563" s="80"/>
      <c r="J563" s="77"/>
      <c r="K563" s="81" t="b">
        <v>0</v>
      </c>
      <c r="L563" s="78"/>
      <c r="M563" s="82"/>
      <c r="N563" s="78"/>
      <c r="O563" s="78"/>
      <c r="P563" s="78"/>
      <c r="Q563" s="78"/>
      <c r="R563" s="78"/>
      <c r="S563" s="78"/>
      <c r="T563" s="83"/>
    </row>
    <row r="564" spans="1:20" ht="15" customHeight="1" x14ac:dyDescent="0.3">
      <c r="A564" s="73"/>
      <c r="B564" s="74"/>
      <c r="C564" s="75"/>
      <c r="D564" s="76"/>
      <c r="E564" s="77"/>
      <c r="F564" s="78"/>
      <c r="G564" s="78"/>
      <c r="H564" s="79"/>
      <c r="I564" s="80"/>
      <c r="J564" s="77"/>
      <c r="K564" s="81" t="b">
        <v>0</v>
      </c>
      <c r="L564" s="78"/>
      <c r="M564" s="82"/>
      <c r="N564" s="78"/>
      <c r="O564" s="78"/>
      <c r="P564" s="78"/>
      <c r="Q564" s="78"/>
      <c r="R564" s="78"/>
      <c r="S564" s="78"/>
      <c r="T564" s="83"/>
    </row>
    <row r="565" spans="1:20" ht="15" customHeight="1" x14ac:dyDescent="0.3">
      <c r="A565" s="73"/>
      <c r="B565" s="74"/>
      <c r="C565" s="75"/>
      <c r="D565" s="76"/>
      <c r="E565" s="77"/>
      <c r="F565" s="78"/>
      <c r="G565" s="78"/>
      <c r="H565" s="79"/>
      <c r="I565" s="80"/>
      <c r="J565" s="77"/>
      <c r="K565" s="81" t="b">
        <v>0</v>
      </c>
      <c r="L565" s="78"/>
      <c r="M565" s="82"/>
      <c r="N565" s="78"/>
      <c r="O565" s="78"/>
      <c r="P565" s="78"/>
      <c r="Q565" s="78"/>
      <c r="R565" s="78"/>
      <c r="S565" s="78"/>
      <c r="T565" s="83"/>
    </row>
    <row r="566" spans="1:20" ht="15" customHeight="1" x14ac:dyDescent="0.3">
      <c r="A566" s="73"/>
      <c r="B566" s="74"/>
      <c r="C566" s="75"/>
      <c r="D566" s="76"/>
      <c r="E566" s="77"/>
      <c r="F566" s="78"/>
      <c r="G566" s="78"/>
      <c r="H566" s="79"/>
      <c r="I566" s="80"/>
      <c r="J566" s="77"/>
      <c r="K566" s="81" t="b">
        <v>0</v>
      </c>
      <c r="L566" s="78"/>
      <c r="M566" s="82"/>
      <c r="N566" s="78"/>
      <c r="O566" s="78"/>
      <c r="P566" s="78"/>
      <c r="Q566" s="78"/>
      <c r="R566" s="78"/>
      <c r="S566" s="78"/>
      <c r="T566" s="83"/>
    </row>
    <row r="567" spans="1:20" ht="15" customHeight="1" x14ac:dyDescent="0.3">
      <c r="A567" s="73"/>
      <c r="B567" s="74"/>
      <c r="C567" s="75"/>
      <c r="D567" s="76"/>
      <c r="E567" s="77"/>
      <c r="F567" s="78"/>
      <c r="G567" s="78"/>
      <c r="H567" s="79"/>
      <c r="I567" s="80"/>
      <c r="J567" s="77"/>
      <c r="K567" s="81" t="b">
        <v>0</v>
      </c>
      <c r="L567" s="78"/>
      <c r="M567" s="82"/>
      <c r="N567" s="78"/>
      <c r="O567" s="78"/>
      <c r="P567" s="78"/>
      <c r="Q567" s="78"/>
      <c r="R567" s="78"/>
      <c r="S567" s="78"/>
      <c r="T567" s="83"/>
    </row>
    <row r="568" spans="1:20" ht="15" customHeight="1" x14ac:dyDescent="0.3">
      <c r="A568" s="73"/>
      <c r="B568" s="74"/>
      <c r="C568" s="75"/>
      <c r="D568" s="76"/>
      <c r="E568" s="77"/>
      <c r="F568" s="78"/>
      <c r="G568" s="78"/>
      <c r="H568" s="79"/>
      <c r="I568" s="80"/>
      <c r="J568" s="77"/>
      <c r="K568" s="81" t="b">
        <v>0</v>
      </c>
      <c r="L568" s="78"/>
      <c r="M568" s="82"/>
      <c r="N568" s="78"/>
      <c r="O568" s="78"/>
      <c r="P568" s="78"/>
      <c r="Q568" s="78"/>
      <c r="R568" s="78"/>
      <c r="S568" s="78"/>
      <c r="T568" s="83"/>
    </row>
    <row r="569" spans="1:20" ht="15" customHeight="1" x14ac:dyDescent="0.3">
      <c r="A569" s="73"/>
      <c r="B569" s="74"/>
      <c r="C569" s="75"/>
      <c r="D569" s="76"/>
      <c r="E569" s="77"/>
      <c r="F569" s="78"/>
      <c r="G569" s="78"/>
      <c r="H569" s="79"/>
      <c r="I569" s="80"/>
      <c r="J569" s="77"/>
      <c r="K569" s="81" t="b">
        <v>0</v>
      </c>
      <c r="L569" s="78"/>
      <c r="M569" s="82"/>
      <c r="N569" s="78"/>
      <c r="O569" s="78"/>
      <c r="P569" s="78"/>
      <c r="Q569" s="78"/>
      <c r="R569" s="78"/>
      <c r="S569" s="78"/>
      <c r="T569" s="83"/>
    </row>
    <row r="570" spans="1:20" ht="15" customHeight="1" x14ac:dyDescent="0.3">
      <c r="A570" s="73"/>
      <c r="B570" s="74"/>
      <c r="C570" s="75"/>
      <c r="D570" s="76"/>
      <c r="E570" s="77"/>
      <c r="F570" s="78"/>
      <c r="G570" s="78"/>
      <c r="H570" s="79"/>
      <c r="I570" s="80"/>
      <c r="J570" s="77"/>
      <c r="K570" s="81" t="b">
        <v>0</v>
      </c>
      <c r="L570" s="78"/>
      <c r="M570" s="82"/>
      <c r="N570" s="78"/>
      <c r="O570" s="78"/>
      <c r="P570" s="78"/>
      <c r="Q570" s="78"/>
      <c r="R570" s="78"/>
      <c r="S570" s="78"/>
      <c r="T570" s="83"/>
    </row>
    <row r="571" spans="1:20" ht="15" customHeight="1" x14ac:dyDescent="0.3">
      <c r="A571" s="73"/>
      <c r="B571" s="74"/>
      <c r="C571" s="75"/>
      <c r="D571" s="76"/>
      <c r="E571" s="77"/>
      <c r="F571" s="78"/>
      <c r="G571" s="78"/>
      <c r="H571" s="79"/>
      <c r="I571" s="80"/>
      <c r="J571" s="77"/>
      <c r="K571" s="81" t="b">
        <v>0</v>
      </c>
      <c r="L571" s="78"/>
      <c r="M571" s="82"/>
      <c r="N571" s="78"/>
      <c r="O571" s="78"/>
      <c r="P571" s="78"/>
      <c r="Q571" s="78"/>
      <c r="R571" s="78"/>
      <c r="S571" s="78"/>
      <c r="T571" s="83"/>
    </row>
    <row r="572" spans="1:20" ht="15" customHeight="1" x14ac:dyDescent="0.3">
      <c r="A572" s="73"/>
      <c r="B572" s="74"/>
      <c r="C572" s="75"/>
      <c r="D572" s="76"/>
      <c r="E572" s="77"/>
      <c r="F572" s="78"/>
      <c r="G572" s="78"/>
      <c r="H572" s="79"/>
      <c r="I572" s="80"/>
      <c r="J572" s="77"/>
      <c r="K572" s="81" t="b">
        <v>0</v>
      </c>
      <c r="L572" s="78"/>
      <c r="M572" s="82"/>
      <c r="N572" s="78"/>
      <c r="O572" s="78"/>
      <c r="P572" s="78"/>
      <c r="Q572" s="78"/>
      <c r="R572" s="78"/>
      <c r="S572" s="78"/>
      <c r="T572" s="83"/>
    </row>
    <row r="573" spans="1:20" ht="15" customHeight="1" x14ac:dyDescent="0.3">
      <c r="A573" s="73"/>
      <c r="B573" s="74"/>
      <c r="C573" s="75"/>
      <c r="D573" s="76"/>
      <c r="E573" s="77"/>
      <c r="F573" s="78"/>
      <c r="G573" s="78"/>
      <c r="H573" s="79"/>
      <c r="I573" s="80"/>
      <c r="J573" s="77"/>
      <c r="K573" s="81" t="b">
        <v>0</v>
      </c>
      <c r="L573" s="78"/>
      <c r="M573" s="82"/>
      <c r="N573" s="78"/>
      <c r="O573" s="78"/>
      <c r="P573" s="78"/>
      <c r="Q573" s="78"/>
      <c r="R573" s="78"/>
      <c r="S573" s="78"/>
      <c r="T573" s="83"/>
    </row>
    <row r="574" spans="1:20" ht="15" customHeight="1" x14ac:dyDescent="0.3">
      <c r="A574" s="73"/>
      <c r="B574" s="74"/>
      <c r="C574" s="75"/>
      <c r="D574" s="76"/>
      <c r="E574" s="77"/>
      <c r="F574" s="78"/>
      <c r="G574" s="78"/>
      <c r="H574" s="79"/>
      <c r="I574" s="80"/>
      <c r="J574" s="77"/>
      <c r="K574" s="81" t="b">
        <v>0</v>
      </c>
      <c r="L574" s="78"/>
      <c r="M574" s="82"/>
      <c r="N574" s="78"/>
      <c r="O574" s="78"/>
      <c r="P574" s="78"/>
      <c r="Q574" s="78"/>
      <c r="R574" s="78"/>
      <c r="S574" s="78"/>
      <c r="T574" s="83"/>
    </row>
    <row r="575" spans="1:20" ht="15" customHeight="1" x14ac:dyDescent="0.3">
      <c r="A575" s="73"/>
      <c r="B575" s="74"/>
      <c r="C575" s="75"/>
      <c r="D575" s="76"/>
      <c r="E575" s="77"/>
      <c r="F575" s="78"/>
      <c r="G575" s="78"/>
      <c r="H575" s="79"/>
      <c r="I575" s="80"/>
      <c r="J575" s="77"/>
      <c r="K575" s="81" t="b">
        <v>0</v>
      </c>
      <c r="L575" s="78"/>
      <c r="M575" s="82"/>
      <c r="N575" s="78"/>
      <c r="O575" s="78"/>
      <c r="P575" s="78"/>
      <c r="Q575" s="78"/>
      <c r="R575" s="78"/>
      <c r="S575" s="78"/>
      <c r="T575" s="83"/>
    </row>
    <row r="576" spans="1:20" ht="15" customHeight="1" x14ac:dyDescent="0.3">
      <c r="A576" s="73"/>
      <c r="B576" s="74"/>
      <c r="C576" s="75"/>
      <c r="D576" s="76"/>
      <c r="E576" s="77"/>
      <c r="F576" s="78"/>
      <c r="G576" s="78"/>
      <c r="H576" s="79"/>
      <c r="I576" s="80"/>
      <c r="J576" s="77"/>
      <c r="K576" s="81" t="b">
        <v>0</v>
      </c>
      <c r="L576" s="78"/>
      <c r="M576" s="82"/>
      <c r="N576" s="78"/>
      <c r="O576" s="78"/>
      <c r="P576" s="78"/>
      <c r="Q576" s="78"/>
      <c r="R576" s="78"/>
      <c r="S576" s="78"/>
      <c r="T576" s="83"/>
    </row>
    <row r="577" spans="1:20" ht="15" customHeight="1" x14ac:dyDescent="0.3">
      <c r="A577" s="73"/>
      <c r="B577" s="74"/>
      <c r="C577" s="75"/>
      <c r="D577" s="76"/>
      <c r="E577" s="77"/>
      <c r="F577" s="78"/>
      <c r="G577" s="78"/>
      <c r="H577" s="79"/>
      <c r="I577" s="80"/>
      <c r="J577" s="77"/>
      <c r="K577" s="81" t="b">
        <v>0</v>
      </c>
      <c r="L577" s="78"/>
      <c r="M577" s="82"/>
      <c r="N577" s="78"/>
      <c r="O577" s="78"/>
      <c r="P577" s="78"/>
      <c r="Q577" s="78"/>
      <c r="R577" s="78"/>
      <c r="S577" s="78"/>
      <c r="T577" s="83"/>
    </row>
    <row r="578" spans="1:20" ht="15" customHeight="1" x14ac:dyDescent="0.3">
      <c r="A578" s="73"/>
      <c r="B578" s="74"/>
      <c r="C578" s="75"/>
      <c r="D578" s="76"/>
      <c r="E578" s="77"/>
      <c r="F578" s="78"/>
      <c r="G578" s="78"/>
      <c r="H578" s="79"/>
      <c r="I578" s="80"/>
      <c r="J578" s="77"/>
      <c r="K578" s="81" t="b">
        <v>0</v>
      </c>
      <c r="L578" s="78"/>
      <c r="M578" s="82"/>
      <c r="N578" s="78"/>
      <c r="O578" s="78"/>
      <c r="P578" s="78"/>
      <c r="Q578" s="78"/>
      <c r="R578" s="78"/>
      <c r="S578" s="78"/>
      <c r="T578" s="83"/>
    </row>
    <row r="579" spans="1:20" ht="15" customHeight="1" x14ac:dyDescent="0.3">
      <c r="A579" s="73"/>
      <c r="B579" s="74"/>
      <c r="C579" s="75"/>
      <c r="D579" s="76"/>
      <c r="E579" s="77"/>
      <c r="F579" s="78"/>
      <c r="G579" s="78"/>
      <c r="H579" s="79"/>
      <c r="I579" s="80"/>
      <c r="J579" s="77"/>
      <c r="K579" s="81" t="b">
        <v>0</v>
      </c>
      <c r="L579" s="78"/>
      <c r="M579" s="82"/>
      <c r="N579" s="78"/>
      <c r="O579" s="78"/>
      <c r="P579" s="78"/>
      <c r="Q579" s="78"/>
      <c r="R579" s="78"/>
      <c r="S579" s="78"/>
      <c r="T579" s="83"/>
    </row>
    <row r="580" spans="1:20" ht="15" customHeight="1" x14ac:dyDescent="0.3">
      <c r="A580" s="73"/>
      <c r="B580" s="74"/>
      <c r="C580" s="75"/>
      <c r="D580" s="76"/>
      <c r="E580" s="77"/>
      <c r="F580" s="78"/>
      <c r="G580" s="78"/>
      <c r="H580" s="79"/>
      <c r="I580" s="80"/>
      <c r="J580" s="77"/>
      <c r="K580" s="81" t="b">
        <v>0</v>
      </c>
      <c r="L580" s="78"/>
      <c r="M580" s="82"/>
      <c r="N580" s="78"/>
      <c r="O580" s="78"/>
      <c r="P580" s="78"/>
      <c r="Q580" s="78"/>
      <c r="R580" s="78"/>
      <c r="S580" s="78"/>
      <c r="T580" s="83"/>
    </row>
    <row r="581" spans="1:20" ht="15" customHeight="1" x14ac:dyDescent="0.3">
      <c r="A581" s="73"/>
      <c r="B581" s="74"/>
      <c r="C581" s="75"/>
      <c r="D581" s="76"/>
      <c r="E581" s="77"/>
      <c r="F581" s="78"/>
      <c r="G581" s="78"/>
      <c r="H581" s="79"/>
      <c r="I581" s="80"/>
      <c r="J581" s="77"/>
      <c r="K581" s="81" t="b">
        <v>0</v>
      </c>
      <c r="L581" s="78"/>
      <c r="M581" s="82"/>
      <c r="N581" s="78"/>
      <c r="O581" s="78"/>
      <c r="P581" s="78"/>
      <c r="Q581" s="78"/>
      <c r="R581" s="78"/>
      <c r="S581" s="78"/>
      <c r="T581" s="83"/>
    </row>
    <row r="582" spans="1:20" ht="15" customHeight="1" x14ac:dyDescent="0.3">
      <c r="A582" s="73"/>
      <c r="B582" s="74"/>
      <c r="C582" s="75"/>
      <c r="D582" s="76"/>
      <c r="E582" s="77"/>
      <c r="F582" s="78"/>
      <c r="G582" s="78"/>
      <c r="H582" s="79"/>
      <c r="I582" s="80"/>
      <c r="J582" s="77"/>
      <c r="K582" s="81" t="b">
        <v>0</v>
      </c>
      <c r="L582" s="78"/>
      <c r="M582" s="82"/>
      <c r="N582" s="78"/>
      <c r="O582" s="78"/>
      <c r="P582" s="78"/>
      <c r="Q582" s="78"/>
      <c r="R582" s="78"/>
      <c r="S582" s="78"/>
      <c r="T582" s="83"/>
    </row>
    <row r="583" spans="1:20" ht="15" customHeight="1" x14ac:dyDescent="0.3">
      <c r="A583" s="73"/>
      <c r="B583" s="74"/>
      <c r="C583" s="75"/>
      <c r="D583" s="76"/>
      <c r="E583" s="77"/>
      <c r="F583" s="78"/>
      <c r="G583" s="78"/>
      <c r="H583" s="79"/>
      <c r="I583" s="80"/>
      <c r="J583" s="77"/>
      <c r="K583" s="81" t="b">
        <v>0</v>
      </c>
      <c r="L583" s="78"/>
      <c r="M583" s="82"/>
      <c r="N583" s="78"/>
      <c r="O583" s="78"/>
      <c r="P583" s="78"/>
      <c r="Q583" s="78"/>
      <c r="R583" s="78"/>
      <c r="S583" s="78"/>
      <c r="T583" s="83"/>
    </row>
    <row r="584" spans="1:20" ht="15" customHeight="1" x14ac:dyDescent="0.3">
      <c r="A584" s="73"/>
      <c r="B584" s="74"/>
      <c r="C584" s="75"/>
      <c r="D584" s="76"/>
      <c r="E584" s="77"/>
      <c r="F584" s="78"/>
      <c r="G584" s="78"/>
      <c r="H584" s="79"/>
      <c r="I584" s="80"/>
      <c r="J584" s="77"/>
      <c r="K584" s="81" t="b">
        <v>0</v>
      </c>
      <c r="L584" s="78"/>
      <c r="M584" s="82"/>
      <c r="N584" s="78"/>
      <c r="O584" s="78"/>
      <c r="P584" s="78"/>
      <c r="Q584" s="78"/>
      <c r="R584" s="78"/>
      <c r="S584" s="78"/>
      <c r="T584" s="83"/>
    </row>
    <row r="585" spans="1:20" ht="15" customHeight="1" x14ac:dyDescent="0.3">
      <c r="A585" s="73"/>
      <c r="B585" s="74"/>
      <c r="C585" s="75"/>
      <c r="D585" s="76"/>
      <c r="E585" s="77"/>
      <c r="F585" s="78"/>
      <c r="G585" s="78"/>
      <c r="H585" s="79"/>
      <c r="I585" s="80"/>
      <c r="J585" s="77"/>
      <c r="K585" s="81" t="b">
        <v>0</v>
      </c>
      <c r="L585" s="78"/>
      <c r="M585" s="82"/>
      <c r="N585" s="78"/>
      <c r="O585" s="78"/>
      <c r="P585" s="78"/>
      <c r="Q585" s="78"/>
      <c r="R585" s="78"/>
      <c r="S585" s="78"/>
      <c r="T585" s="83"/>
    </row>
    <row r="586" spans="1:20" ht="15" customHeight="1" x14ac:dyDescent="0.3">
      <c r="A586" s="73"/>
      <c r="B586" s="74"/>
      <c r="C586" s="75"/>
      <c r="D586" s="76"/>
      <c r="E586" s="77"/>
      <c r="F586" s="78"/>
      <c r="G586" s="78"/>
      <c r="H586" s="79"/>
      <c r="I586" s="80"/>
      <c r="J586" s="77"/>
      <c r="K586" s="81" t="b">
        <v>0</v>
      </c>
      <c r="L586" s="78"/>
      <c r="M586" s="82"/>
      <c r="N586" s="78"/>
      <c r="O586" s="78"/>
      <c r="P586" s="78"/>
      <c r="Q586" s="78"/>
      <c r="R586" s="78"/>
      <c r="S586" s="78"/>
      <c r="T586" s="83"/>
    </row>
    <row r="587" spans="1:20" ht="15" customHeight="1" x14ac:dyDescent="0.3">
      <c r="A587" s="73"/>
      <c r="B587" s="74"/>
      <c r="C587" s="75"/>
      <c r="D587" s="76"/>
      <c r="E587" s="77"/>
      <c r="F587" s="78"/>
      <c r="G587" s="78"/>
      <c r="H587" s="79"/>
      <c r="I587" s="80"/>
      <c r="J587" s="77"/>
      <c r="K587" s="81" t="b">
        <v>0</v>
      </c>
      <c r="L587" s="78"/>
      <c r="M587" s="82"/>
      <c r="N587" s="78"/>
      <c r="O587" s="78"/>
      <c r="P587" s="78"/>
      <c r="Q587" s="78"/>
      <c r="R587" s="78"/>
      <c r="S587" s="78"/>
      <c r="T587" s="83"/>
    </row>
    <row r="588" spans="1:20" ht="15" customHeight="1" x14ac:dyDescent="0.3">
      <c r="A588" s="73"/>
      <c r="B588" s="74"/>
      <c r="C588" s="75"/>
      <c r="D588" s="76"/>
      <c r="E588" s="77"/>
      <c r="F588" s="78"/>
      <c r="G588" s="78"/>
      <c r="H588" s="79"/>
      <c r="I588" s="80"/>
      <c r="J588" s="77"/>
      <c r="K588" s="81" t="b">
        <v>0</v>
      </c>
      <c r="L588" s="78"/>
      <c r="M588" s="82"/>
      <c r="N588" s="78"/>
      <c r="O588" s="78"/>
      <c r="P588" s="78"/>
      <c r="Q588" s="78"/>
      <c r="R588" s="78"/>
      <c r="S588" s="78"/>
      <c r="T588" s="83"/>
    </row>
    <row r="589" spans="1:20" ht="15" customHeight="1" x14ac:dyDescent="0.3">
      <c r="A589" s="73"/>
      <c r="B589" s="74"/>
      <c r="C589" s="75"/>
      <c r="D589" s="76"/>
      <c r="E589" s="77"/>
      <c r="F589" s="78"/>
      <c r="G589" s="78"/>
      <c r="H589" s="79"/>
      <c r="I589" s="80"/>
      <c r="J589" s="77"/>
      <c r="K589" s="81" t="b">
        <v>0</v>
      </c>
      <c r="L589" s="78"/>
      <c r="M589" s="82"/>
      <c r="N589" s="78"/>
      <c r="O589" s="78"/>
      <c r="P589" s="78"/>
      <c r="Q589" s="78"/>
      <c r="R589" s="78"/>
      <c r="S589" s="78"/>
      <c r="T589" s="83"/>
    </row>
    <row r="590" spans="1:20" ht="15" customHeight="1" x14ac:dyDescent="0.3">
      <c r="A590" s="73"/>
      <c r="B590" s="74"/>
      <c r="C590" s="75"/>
      <c r="D590" s="76"/>
      <c r="E590" s="77"/>
      <c r="F590" s="78"/>
      <c r="G590" s="78"/>
      <c r="H590" s="79"/>
      <c r="I590" s="80"/>
      <c r="J590" s="77"/>
      <c r="K590" s="81" t="b">
        <v>0</v>
      </c>
      <c r="L590" s="78"/>
      <c r="M590" s="82"/>
      <c r="N590" s="78"/>
      <c r="O590" s="78"/>
      <c r="P590" s="78"/>
      <c r="Q590" s="78"/>
      <c r="R590" s="78"/>
      <c r="S590" s="78"/>
      <c r="T590" s="83"/>
    </row>
    <row r="591" spans="1:20" ht="15" customHeight="1" x14ac:dyDescent="0.3">
      <c r="A591" s="73"/>
      <c r="B591" s="74"/>
      <c r="C591" s="75"/>
      <c r="D591" s="76"/>
      <c r="E591" s="77"/>
      <c r="F591" s="78"/>
      <c r="G591" s="78"/>
      <c r="H591" s="79"/>
      <c r="I591" s="80"/>
      <c r="J591" s="77"/>
      <c r="K591" s="81" t="b">
        <v>0</v>
      </c>
      <c r="L591" s="78"/>
      <c r="M591" s="82"/>
      <c r="N591" s="78"/>
      <c r="O591" s="78"/>
      <c r="P591" s="78"/>
      <c r="Q591" s="78"/>
      <c r="R591" s="78"/>
      <c r="S591" s="78"/>
      <c r="T591" s="83"/>
    </row>
    <row r="592" spans="1:20" ht="15" customHeight="1" x14ac:dyDescent="0.3">
      <c r="A592" s="73"/>
      <c r="B592" s="74"/>
      <c r="C592" s="75"/>
      <c r="D592" s="76"/>
      <c r="E592" s="77"/>
      <c r="F592" s="78"/>
      <c r="G592" s="78"/>
      <c r="H592" s="79"/>
      <c r="I592" s="80"/>
      <c r="J592" s="77"/>
      <c r="K592" s="81" t="b">
        <v>0</v>
      </c>
      <c r="L592" s="78"/>
      <c r="M592" s="82"/>
      <c r="N592" s="78"/>
      <c r="O592" s="78"/>
      <c r="P592" s="78"/>
      <c r="Q592" s="78"/>
      <c r="R592" s="78"/>
      <c r="S592" s="78"/>
      <c r="T592" s="83"/>
    </row>
    <row r="593" spans="1:20" ht="15" customHeight="1" x14ac:dyDescent="0.3">
      <c r="A593" s="73"/>
      <c r="B593" s="74"/>
      <c r="C593" s="75"/>
      <c r="D593" s="76"/>
      <c r="E593" s="77"/>
      <c r="F593" s="78"/>
      <c r="G593" s="78"/>
      <c r="H593" s="79"/>
      <c r="I593" s="80"/>
      <c r="J593" s="77"/>
      <c r="K593" s="81" t="b">
        <v>0</v>
      </c>
      <c r="L593" s="78"/>
      <c r="M593" s="82"/>
      <c r="N593" s="78"/>
      <c r="O593" s="78"/>
      <c r="P593" s="78"/>
      <c r="Q593" s="78"/>
      <c r="R593" s="78"/>
      <c r="S593" s="78"/>
      <c r="T593" s="83"/>
    </row>
    <row r="594" spans="1:20" ht="15" customHeight="1" x14ac:dyDescent="0.3">
      <c r="A594" s="73"/>
      <c r="B594" s="74"/>
      <c r="C594" s="75"/>
      <c r="D594" s="76"/>
      <c r="E594" s="77"/>
      <c r="F594" s="78"/>
      <c r="G594" s="78"/>
      <c r="H594" s="79"/>
      <c r="I594" s="80"/>
      <c r="J594" s="77"/>
      <c r="K594" s="81" t="b">
        <v>0</v>
      </c>
      <c r="L594" s="78"/>
      <c r="M594" s="82"/>
      <c r="N594" s="78"/>
      <c r="O594" s="78"/>
      <c r="P594" s="78"/>
      <c r="Q594" s="78"/>
      <c r="R594" s="78"/>
      <c r="S594" s="78"/>
      <c r="T594" s="83"/>
    </row>
    <row r="595" spans="1:20" ht="15" customHeight="1" x14ac:dyDescent="0.3">
      <c r="A595" s="73"/>
      <c r="B595" s="74"/>
      <c r="C595" s="75"/>
      <c r="D595" s="76"/>
      <c r="E595" s="77"/>
      <c r="F595" s="78"/>
      <c r="G595" s="78"/>
      <c r="H595" s="79"/>
      <c r="I595" s="80"/>
      <c r="J595" s="77"/>
      <c r="K595" s="81" t="b">
        <v>0</v>
      </c>
      <c r="L595" s="78"/>
      <c r="M595" s="82"/>
      <c r="N595" s="78"/>
      <c r="O595" s="78"/>
      <c r="P595" s="78"/>
      <c r="Q595" s="78"/>
      <c r="R595" s="78"/>
      <c r="S595" s="78"/>
      <c r="T595" s="83"/>
    </row>
    <row r="596" spans="1:20" ht="15" customHeight="1" x14ac:dyDescent="0.3">
      <c r="A596" s="73"/>
      <c r="B596" s="74"/>
      <c r="C596" s="75"/>
      <c r="D596" s="76"/>
      <c r="E596" s="77"/>
      <c r="F596" s="78"/>
      <c r="G596" s="78"/>
      <c r="H596" s="79"/>
      <c r="I596" s="80"/>
      <c r="J596" s="77"/>
      <c r="K596" s="81" t="b">
        <v>0</v>
      </c>
      <c r="L596" s="78"/>
      <c r="M596" s="82"/>
      <c r="N596" s="78"/>
      <c r="O596" s="78"/>
      <c r="P596" s="78"/>
      <c r="Q596" s="78"/>
      <c r="R596" s="78"/>
      <c r="S596" s="78"/>
      <c r="T596" s="83"/>
    </row>
    <row r="597" spans="1:20" ht="15" customHeight="1" x14ac:dyDescent="0.3">
      <c r="A597" s="73"/>
      <c r="B597" s="74"/>
      <c r="C597" s="75"/>
      <c r="D597" s="76"/>
      <c r="E597" s="77"/>
      <c r="F597" s="78"/>
      <c r="G597" s="78"/>
      <c r="H597" s="79"/>
      <c r="I597" s="80"/>
      <c r="J597" s="77"/>
      <c r="K597" s="81" t="b">
        <v>0</v>
      </c>
      <c r="L597" s="78"/>
      <c r="M597" s="82"/>
      <c r="N597" s="78"/>
      <c r="O597" s="78"/>
      <c r="P597" s="78"/>
      <c r="Q597" s="78"/>
      <c r="R597" s="78"/>
      <c r="S597" s="78"/>
      <c r="T597" s="83"/>
    </row>
    <row r="598" spans="1:20" ht="15" customHeight="1" x14ac:dyDescent="0.3">
      <c r="A598" s="73"/>
      <c r="B598" s="74"/>
      <c r="C598" s="75"/>
      <c r="D598" s="76"/>
      <c r="E598" s="77"/>
      <c r="F598" s="78"/>
      <c r="G598" s="78"/>
      <c r="H598" s="79"/>
      <c r="I598" s="80"/>
      <c r="J598" s="77"/>
      <c r="K598" s="81" t="b">
        <v>0</v>
      </c>
      <c r="L598" s="78"/>
      <c r="M598" s="82"/>
      <c r="N598" s="78"/>
      <c r="O598" s="78"/>
      <c r="P598" s="78"/>
      <c r="Q598" s="78"/>
      <c r="R598" s="78"/>
      <c r="S598" s="78"/>
      <c r="T598" s="83"/>
    </row>
    <row r="599" spans="1:20" ht="15" customHeight="1" x14ac:dyDescent="0.3">
      <c r="A599" s="73"/>
      <c r="B599" s="74"/>
      <c r="C599" s="75"/>
      <c r="D599" s="76"/>
      <c r="E599" s="77"/>
      <c r="F599" s="78"/>
      <c r="G599" s="78"/>
      <c r="H599" s="79"/>
      <c r="I599" s="80"/>
      <c r="J599" s="77"/>
      <c r="K599" s="81" t="b">
        <v>0</v>
      </c>
      <c r="L599" s="78"/>
      <c r="M599" s="82"/>
      <c r="N599" s="78"/>
      <c r="O599" s="78"/>
      <c r="P599" s="78"/>
      <c r="Q599" s="78"/>
      <c r="R599" s="78"/>
      <c r="S599" s="78"/>
      <c r="T599" s="83"/>
    </row>
    <row r="600" spans="1:20" ht="15" customHeight="1" x14ac:dyDescent="0.3">
      <c r="A600" s="73"/>
      <c r="B600" s="74"/>
      <c r="C600" s="75"/>
      <c r="D600" s="76"/>
      <c r="E600" s="77"/>
      <c r="F600" s="78"/>
      <c r="G600" s="78"/>
      <c r="H600" s="79"/>
      <c r="I600" s="80"/>
      <c r="J600" s="77"/>
      <c r="K600" s="81" t="b">
        <v>0</v>
      </c>
      <c r="L600" s="78"/>
      <c r="M600" s="82"/>
      <c r="N600" s="78"/>
      <c r="O600" s="78"/>
      <c r="P600" s="78"/>
      <c r="Q600" s="78"/>
      <c r="R600" s="78"/>
      <c r="S600" s="78"/>
      <c r="T600" s="83"/>
    </row>
    <row r="601" spans="1:20" ht="15" customHeight="1" x14ac:dyDescent="0.3">
      <c r="A601" s="73"/>
      <c r="B601" s="74"/>
      <c r="C601" s="75"/>
      <c r="D601" s="76"/>
      <c r="E601" s="77"/>
      <c r="F601" s="78"/>
      <c r="G601" s="78"/>
      <c r="H601" s="79"/>
      <c r="I601" s="80"/>
      <c r="J601" s="77"/>
      <c r="K601" s="81" t="b">
        <v>0</v>
      </c>
      <c r="L601" s="78"/>
      <c r="M601" s="82"/>
      <c r="N601" s="78"/>
      <c r="O601" s="78"/>
      <c r="P601" s="78"/>
      <c r="Q601" s="78"/>
      <c r="R601" s="78"/>
      <c r="S601" s="78"/>
      <c r="T601" s="83"/>
    </row>
    <row r="602" spans="1:20" ht="15" customHeight="1" x14ac:dyDescent="0.3">
      <c r="A602" s="73"/>
      <c r="B602" s="74"/>
      <c r="C602" s="75"/>
      <c r="D602" s="76"/>
      <c r="E602" s="77"/>
      <c r="F602" s="78"/>
      <c r="G602" s="78"/>
      <c r="H602" s="79"/>
      <c r="I602" s="80"/>
      <c r="J602" s="77"/>
      <c r="K602" s="81" t="b">
        <v>0</v>
      </c>
      <c r="L602" s="78"/>
      <c r="M602" s="82"/>
      <c r="N602" s="78"/>
      <c r="O602" s="78"/>
      <c r="P602" s="78"/>
      <c r="Q602" s="78"/>
      <c r="R602" s="78"/>
      <c r="S602" s="78"/>
      <c r="T602" s="83"/>
    </row>
    <row r="603" spans="1:20" ht="15" customHeight="1" x14ac:dyDescent="0.3">
      <c r="A603" s="73"/>
      <c r="B603" s="74"/>
      <c r="C603" s="75"/>
      <c r="D603" s="76"/>
      <c r="E603" s="77"/>
      <c r="F603" s="78"/>
      <c r="G603" s="78"/>
      <c r="H603" s="79"/>
      <c r="I603" s="80"/>
      <c r="J603" s="77"/>
      <c r="K603" s="81" t="b">
        <v>0</v>
      </c>
      <c r="L603" s="78"/>
      <c r="M603" s="82"/>
      <c r="N603" s="78"/>
      <c r="O603" s="78"/>
      <c r="P603" s="78"/>
      <c r="Q603" s="78"/>
      <c r="R603" s="78"/>
      <c r="S603" s="78"/>
      <c r="T603" s="83"/>
    </row>
    <row r="604" spans="1:20" ht="15" customHeight="1" x14ac:dyDescent="0.3">
      <c r="A604" s="73"/>
      <c r="B604" s="74"/>
      <c r="C604" s="75"/>
      <c r="D604" s="76"/>
      <c r="E604" s="77"/>
      <c r="F604" s="78"/>
      <c r="G604" s="78"/>
      <c r="H604" s="79"/>
      <c r="I604" s="80"/>
      <c r="J604" s="77"/>
      <c r="K604" s="81" t="b">
        <v>0</v>
      </c>
      <c r="L604" s="78"/>
      <c r="M604" s="82"/>
      <c r="N604" s="78"/>
      <c r="O604" s="78"/>
      <c r="P604" s="78"/>
      <c r="Q604" s="78"/>
      <c r="R604" s="78"/>
      <c r="S604" s="78"/>
      <c r="T604" s="83"/>
    </row>
    <row r="605" spans="1:20" ht="15" customHeight="1" x14ac:dyDescent="0.3">
      <c r="A605" s="73"/>
      <c r="B605" s="74"/>
      <c r="C605" s="75"/>
      <c r="D605" s="76"/>
      <c r="E605" s="77"/>
      <c r="F605" s="78"/>
      <c r="G605" s="78"/>
      <c r="H605" s="79"/>
      <c r="I605" s="80"/>
      <c r="J605" s="77"/>
      <c r="K605" s="81" t="b">
        <v>0</v>
      </c>
      <c r="L605" s="78"/>
      <c r="M605" s="82"/>
      <c r="N605" s="78"/>
      <c r="O605" s="78"/>
      <c r="P605" s="78"/>
      <c r="Q605" s="78"/>
      <c r="R605" s="78"/>
      <c r="S605" s="78"/>
      <c r="T605" s="83"/>
    </row>
    <row r="606" spans="1:20" ht="15" customHeight="1" x14ac:dyDescent="0.3">
      <c r="A606" s="73"/>
      <c r="B606" s="74"/>
      <c r="C606" s="75"/>
      <c r="D606" s="76"/>
      <c r="E606" s="77"/>
      <c r="F606" s="78"/>
      <c r="G606" s="78"/>
      <c r="H606" s="79"/>
      <c r="I606" s="80"/>
      <c r="J606" s="77"/>
      <c r="K606" s="81" t="b">
        <v>0</v>
      </c>
      <c r="L606" s="78"/>
      <c r="M606" s="82"/>
      <c r="N606" s="78"/>
      <c r="O606" s="78"/>
      <c r="P606" s="78"/>
      <c r="Q606" s="78"/>
      <c r="R606" s="78"/>
      <c r="S606" s="78"/>
      <c r="T606" s="83"/>
    </row>
    <row r="607" spans="1:20" ht="15" customHeight="1" x14ac:dyDescent="0.3">
      <c r="A607" s="73"/>
      <c r="B607" s="74"/>
      <c r="C607" s="75"/>
      <c r="D607" s="76"/>
      <c r="E607" s="77"/>
      <c r="F607" s="78"/>
      <c r="G607" s="78"/>
      <c r="H607" s="79"/>
      <c r="I607" s="80"/>
      <c r="J607" s="77"/>
      <c r="K607" s="81" t="b">
        <v>0</v>
      </c>
      <c r="L607" s="78"/>
      <c r="M607" s="82"/>
      <c r="N607" s="78"/>
      <c r="O607" s="78"/>
      <c r="P607" s="78"/>
      <c r="Q607" s="78"/>
      <c r="R607" s="78"/>
      <c r="S607" s="78"/>
      <c r="T607" s="83"/>
    </row>
    <row r="608" spans="1:20" ht="15" customHeight="1" x14ac:dyDescent="0.3">
      <c r="A608" s="73"/>
      <c r="B608" s="74"/>
      <c r="C608" s="75"/>
      <c r="D608" s="76"/>
      <c r="E608" s="77"/>
      <c r="F608" s="78"/>
      <c r="G608" s="78"/>
      <c r="H608" s="79"/>
      <c r="I608" s="80"/>
      <c r="J608" s="77"/>
      <c r="K608" s="81" t="b">
        <v>0</v>
      </c>
      <c r="L608" s="78"/>
      <c r="M608" s="82"/>
      <c r="N608" s="78"/>
      <c r="O608" s="78"/>
      <c r="P608" s="78"/>
      <c r="Q608" s="78"/>
      <c r="R608" s="78"/>
      <c r="S608" s="78"/>
      <c r="T608" s="83"/>
    </row>
    <row r="609" spans="1:20" ht="15" customHeight="1" x14ac:dyDescent="0.3">
      <c r="A609" s="73"/>
      <c r="B609" s="74"/>
      <c r="C609" s="75"/>
      <c r="D609" s="76"/>
      <c r="E609" s="77"/>
      <c r="F609" s="78"/>
      <c r="G609" s="78"/>
      <c r="H609" s="79"/>
      <c r="I609" s="80"/>
      <c r="J609" s="77"/>
      <c r="K609" s="81" t="b">
        <v>0</v>
      </c>
      <c r="L609" s="78"/>
      <c r="M609" s="82"/>
      <c r="N609" s="78"/>
      <c r="O609" s="78"/>
      <c r="P609" s="78"/>
      <c r="Q609" s="78"/>
      <c r="R609" s="78"/>
      <c r="S609" s="78"/>
      <c r="T609" s="83"/>
    </row>
    <row r="610" spans="1:20" ht="15" customHeight="1" x14ac:dyDescent="0.3">
      <c r="A610" s="73"/>
      <c r="B610" s="74"/>
      <c r="C610" s="75"/>
      <c r="D610" s="76"/>
      <c r="E610" s="77"/>
      <c r="F610" s="78"/>
      <c r="G610" s="78"/>
      <c r="H610" s="79"/>
      <c r="I610" s="80"/>
      <c r="J610" s="77"/>
      <c r="K610" s="81" t="b">
        <v>0</v>
      </c>
      <c r="L610" s="78"/>
      <c r="M610" s="82"/>
      <c r="N610" s="78"/>
      <c r="O610" s="78"/>
      <c r="P610" s="78"/>
      <c r="Q610" s="78"/>
      <c r="R610" s="78"/>
      <c r="S610" s="78"/>
      <c r="T610" s="83"/>
    </row>
    <row r="611" spans="1:20" ht="15" customHeight="1" x14ac:dyDescent="0.3">
      <c r="A611" s="73"/>
      <c r="B611" s="74"/>
      <c r="C611" s="75"/>
      <c r="D611" s="76"/>
      <c r="E611" s="77"/>
      <c r="F611" s="78"/>
      <c r="G611" s="78"/>
      <c r="H611" s="79"/>
      <c r="I611" s="80"/>
      <c r="J611" s="77"/>
      <c r="K611" s="81" t="b">
        <v>0</v>
      </c>
      <c r="L611" s="78"/>
      <c r="M611" s="82"/>
      <c r="N611" s="78"/>
      <c r="O611" s="78"/>
      <c r="P611" s="78"/>
      <c r="Q611" s="78"/>
      <c r="R611" s="78"/>
      <c r="S611" s="78"/>
      <c r="T611" s="83"/>
    </row>
    <row r="612" spans="1:20" ht="15" customHeight="1" x14ac:dyDescent="0.3">
      <c r="A612" s="73"/>
      <c r="B612" s="74"/>
      <c r="C612" s="75"/>
      <c r="D612" s="76"/>
      <c r="E612" s="77"/>
      <c r="F612" s="78"/>
      <c r="G612" s="78"/>
      <c r="H612" s="79"/>
      <c r="I612" s="80"/>
      <c r="J612" s="77"/>
      <c r="K612" s="81" t="b">
        <v>0</v>
      </c>
      <c r="L612" s="78"/>
      <c r="M612" s="82"/>
      <c r="N612" s="78"/>
      <c r="O612" s="78"/>
      <c r="P612" s="78"/>
      <c r="Q612" s="78"/>
      <c r="R612" s="78"/>
      <c r="S612" s="78"/>
      <c r="T612" s="83"/>
    </row>
    <row r="613" spans="1:20" ht="15" customHeight="1" x14ac:dyDescent="0.3">
      <c r="A613" s="73"/>
      <c r="B613" s="74"/>
      <c r="C613" s="75"/>
      <c r="D613" s="76"/>
      <c r="E613" s="77"/>
      <c r="F613" s="78"/>
      <c r="G613" s="78"/>
      <c r="H613" s="79"/>
      <c r="I613" s="80"/>
      <c r="J613" s="77"/>
      <c r="K613" s="81" t="b">
        <v>0</v>
      </c>
      <c r="L613" s="78"/>
      <c r="M613" s="82"/>
      <c r="N613" s="78"/>
      <c r="O613" s="78"/>
      <c r="P613" s="78"/>
      <c r="Q613" s="78"/>
      <c r="R613" s="78"/>
      <c r="S613" s="78"/>
      <c r="T613" s="83"/>
    </row>
    <row r="614" spans="1:20" ht="15" customHeight="1" x14ac:dyDescent="0.3">
      <c r="A614" s="73"/>
      <c r="B614" s="74"/>
      <c r="C614" s="75"/>
      <c r="D614" s="76"/>
      <c r="E614" s="77"/>
      <c r="F614" s="78"/>
      <c r="G614" s="78"/>
      <c r="H614" s="79"/>
      <c r="I614" s="80"/>
      <c r="J614" s="77"/>
      <c r="K614" s="81" t="b">
        <v>0</v>
      </c>
      <c r="L614" s="78"/>
      <c r="M614" s="82"/>
      <c r="N614" s="78"/>
      <c r="O614" s="78"/>
      <c r="P614" s="78"/>
      <c r="Q614" s="78"/>
      <c r="R614" s="78"/>
      <c r="S614" s="78"/>
      <c r="T614" s="83"/>
    </row>
    <row r="615" spans="1:20" ht="15" customHeight="1" x14ac:dyDescent="0.3">
      <c r="A615" s="73"/>
      <c r="B615" s="74"/>
      <c r="C615" s="75"/>
      <c r="D615" s="76"/>
      <c r="E615" s="77"/>
      <c r="F615" s="78"/>
      <c r="G615" s="78"/>
      <c r="H615" s="79"/>
      <c r="I615" s="80"/>
      <c r="J615" s="77"/>
      <c r="K615" s="81" t="b">
        <v>0</v>
      </c>
      <c r="L615" s="78"/>
      <c r="M615" s="82"/>
      <c r="N615" s="78"/>
      <c r="O615" s="78"/>
      <c r="P615" s="78"/>
      <c r="Q615" s="78"/>
      <c r="R615" s="78"/>
      <c r="S615" s="78"/>
      <c r="T615" s="83"/>
    </row>
    <row r="616" spans="1:20" ht="15" customHeight="1" x14ac:dyDescent="0.3">
      <c r="A616" s="73"/>
      <c r="B616" s="74"/>
      <c r="C616" s="75"/>
      <c r="D616" s="76"/>
      <c r="E616" s="77"/>
      <c r="F616" s="78"/>
      <c r="G616" s="78"/>
      <c r="H616" s="79"/>
      <c r="I616" s="80"/>
      <c r="J616" s="77"/>
      <c r="K616" s="81" t="b">
        <v>0</v>
      </c>
      <c r="L616" s="78"/>
      <c r="M616" s="82"/>
      <c r="N616" s="78"/>
      <c r="O616" s="78"/>
      <c r="P616" s="78"/>
      <c r="Q616" s="78"/>
      <c r="R616" s="78"/>
      <c r="S616" s="78"/>
      <c r="T616" s="83"/>
    </row>
    <row r="617" spans="1:20" ht="15" customHeight="1" x14ac:dyDescent="0.3">
      <c r="A617" s="73"/>
      <c r="B617" s="74"/>
      <c r="C617" s="75"/>
      <c r="D617" s="76"/>
      <c r="E617" s="77"/>
      <c r="F617" s="78"/>
      <c r="G617" s="78"/>
      <c r="H617" s="79"/>
      <c r="I617" s="80"/>
      <c r="J617" s="77"/>
      <c r="K617" s="81" t="b">
        <v>0</v>
      </c>
      <c r="L617" s="78"/>
      <c r="M617" s="82"/>
      <c r="N617" s="78"/>
      <c r="O617" s="78"/>
      <c r="P617" s="78"/>
      <c r="Q617" s="78"/>
      <c r="R617" s="78"/>
      <c r="S617" s="78"/>
      <c r="T617" s="83"/>
    </row>
    <row r="618" spans="1:20" ht="15" customHeight="1" x14ac:dyDescent="0.3">
      <c r="A618" s="73"/>
      <c r="B618" s="74"/>
      <c r="C618" s="75"/>
      <c r="D618" s="76"/>
      <c r="E618" s="77"/>
      <c r="F618" s="78"/>
      <c r="G618" s="78"/>
      <c r="H618" s="79"/>
      <c r="I618" s="80"/>
      <c r="J618" s="77"/>
      <c r="K618" s="81" t="b">
        <v>0</v>
      </c>
      <c r="L618" s="78"/>
      <c r="M618" s="82"/>
      <c r="N618" s="78"/>
      <c r="O618" s="78"/>
      <c r="P618" s="78"/>
      <c r="Q618" s="78"/>
      <c r="R618" s="78"/>
      <c r="S618" s="78"/>
      <c r="T618" s="83"/>
    </row>
    <row r="619" spans="1:20" ht="15" customHeight="1" x14ac:dyDescent="0.3">
      <c r="A619" s="73"/>
      <c r="B619" s="74"/>
      <c r="C619" s="75"/>
      <c r="D619" s="76"/>
      <c r="E619" s="77"/>
      <c r="F619" s="78"/>
      <c r="G619" s="78"/>
      <c r="H619" s="79"/>
      <c r="I619" s="80"/>
      <c r="J619" s="77"/>
      <c r="K619" s="81" t="b">
        <v>0</v>
      </c>
      <c r="L619" s="78"/>
      <c r="M619" s="82"/>
      <c r="N619" s="78"/>
      <c r="O619" s="78"/>
      <c r="P619" s="78"/>
      <c r="Q619" s="78"/>
      <c r="R619" s="78"/>
      <c r="S619" s="78"/>
      <c r="T619" s="83"/>
    </row>
    <row r="620" spans="1:20" ht="15" customHeight="1" x14ac:dyDescent="0.3">
      <c r="A620" s="73"/>
      <c r="B620" s="74"/>
      <c r="C620" s="75"/>
      <c r="D620" s="76"/>
      <c r="E620" s="77"/>
      <c r="F620" s="78"/>
      <c r="G620" s="78"/>
      <c r="H620" s="79"/>
      <c r="I620" s="80"/>
      <c r="J620" s="77"/>
      <c r="K620" s="81" t="b">
        <v>0</v>
      </c>
      <c r="L620" s="78"/>
      <c r="M620" s="82"/>
      <c r="N620" s="78"/>
      <c r="O620" s="78"/>
      <c r="P620" s="78"/>
      <c r="Q620" s="78"/>
      <c r="R620" s="78"/>
      <c r="S620" s="78"/>
      <c r="T620" s="83"/>
    </row>
    <row r="621" spans="1:20" ht="15" customHeight="1" x14ac:dyDescent="0.3">
      <c r="A621" s="73"/>
      <c r="B621" s="74"/>
      <c r="C621" s="75"/>
      <c r="D621" s="76"/>
      <c r="E621" s="77"/>
      <c r="F621" s="78"/>
      <c r="G621" s="78"/>
      <c r="H621" s="79"/>
      <c r="I621" s="80"/>
      <c r="J621" s="77"/>
      <c r="K621" s="81" t="b">
        <v>0</v>
      </c>
      <c r="L621" s="78"/>
      <c r="M621" s="82"/>
      <c r="N621" s="78"/>
      <c r="O621" s="78"/>
      <c r="P621" s="78"/>
      <c r="Q621" s="78"/>
      <c r="R621" s="78"/>
      <c r="S621" s="78"/>
      <c r="T621" s="83"/>
    </row>
    <row r="622" spans="1:20" ht="15" customHeight="1" x14ac:dyDescent="0.3">
      <c r="A622" s="73"/>
      <c r="B622" s="74"/>
      <c r="C622" s="75"/>
      <c r="D622" s="76"/>
      <c r="E622" s="77"/>
      <c r="F622" s="78"/>
      <c r="G622" s="78"/>
      <c r="H622" s="79"/>
      <c r="I622" s="80"/>
      <c r="J622" s="77"/>
      <c r="K622" s="81" t="b">
        <v>0</v>
      </c>
      <c r="L622" s="78"/>
      <c r="M622" s="82"/>
      <c r="N622" s="78"/>
      <c r="O622" s="78"/>
      <c r="P622" s="78"/>
      <c r="Q622" s="78"/>
      <c r="R622" s="78"/>
      <c r="S622" s="78"/>
      <c r="T622" s="83"/>
    </row>
    <row r="623" spans="1:20" ht="15" customHeight="1" x14ac:dyDescent="0.3">
      <c r="A623" s="73"/>
      <c r="B623" s="74"/>
      <c r="C623" s="75"/>
      <c r="D623" s="76"/>
      <c r="E623" s="77"/>
      <c r="F623" s="78"/>
      <c r="G623" s="78"/>
      <c r="H623" s="79"/>
      <c r="I623" s="80"/>
      <c r="J623" s="77"/>
      <c r="K623" s="81" t="b">
        <v>0</v>
      </c>
      <c r="L623" s="78"/>
      <c r="M623" s="82"/>
      <c r="N623" s="78"/>
      <c r="O623" s="78"/>
      <c r="P623" s="78"/>
      <c r="Q623" s="78"/>
      <c r="R623" s="78"/>
      <c r="S623" s="78"/>
      <c r="T623" s="83"/>
    </row>
    <row r="624" spans="1:20" ht="15" customHeight="1" x14ac:dyDescent="0.3">
      <c r="A624" s="73"/>
      <c r="B624" s="74"/>
      <c r="C624" s="75"/>
      <c r="D624" s="76"/>
      <c r="E624" s="77"/>
      <c r="F624" s="78"/>
      <c r="G624" s="78"/>
      <c r="H624" s="79"/>
      <c r="I624" s="80"/>
      <c r="J624" s="77"/>
      <c r="K624" s="81" t="b">
        <v>0</v>
      </c>
      <c r="L624" s="78"/>
      <c r="M624" s="82"/>
      <c r="N624" s="78"/>
      <c r="O624" s="78"/>
      <c r="P624" s="78"/>
      <c r="Q624" s="78"/>
      <c r="R624" s="78"/>
      <c r="S624" s="78"/>
      <c r="T624" s="83"/>
    </row>
    <row r="625" spans="1:20" ht="15" customHeight="1" x14ac:dyDescent="0.3">
      <c r="A625" s="73"/>
      <c r="B625" s="74"/>
      <c r="C625" s="75"/>
      <c r="D625" s="76"/>
      <c r="E625" s="77"/>
      <c r="F625" s="78"/>
      <c r="G625" s="78"/>
      <c r="H625" s="79"/>
      <c r="I625" s="80"/>
      <c r="J625" s="77"/>
      <c r="K625" s="81" t="b">
        <v>0</v>
      </c>
      <c r="L625" s="78"/>
      <c r="M625" s="82"/>
      <c r="N625" s="78"/>
      <c r="O625" s="78"/>
      <c r="P625" s="78"/>
      <c r="Q625" s="78"/>
      <c r="R625" s="78"/>
      <c r="S625" s="78"/>
      <c r="T625" s="83"/>
    </row>
    <row r="626" spans="1:20" ht="15" customHeight="1" x14ac:dyDescent="0.3">
      <c r="A626" s="73"/>
      <c r="B626" s="74"/>
      <c r="C626" s="75"/>
      <c r="D626" s="76"/>
      <c r="E626" s="77"/>
      <c r="F626" s="78"/>
      <c r="G626" s="78"/>
      <c r="H626" s="79"/>
      <c r="I626" s="80"/>
      <c r="J626" s="77"/>
      <c r="K626" s="81" t="b">
        <v>0</v>
      </c>
      <c r="L626" s="78"/>
      <c r="M626" s="82"/>
      <c r="N626" s="78"/>
      <c r="O626" s="78"/>
      <c r="P626" s="78"/>
      <c r="Q626" s="78"/>
      <c r="R626" s="78"/>
      <c r="S626" s="78"/>
      <c r="T626" s="83"/>
    </row>
    <row r="627" spans="1:20" ht="15" customHeight="1" x14ac:dyDescent="0.3">
      <c r="A627" s="73"/>
      <c r="B627" s="74"/>
      <c r="C627" s="75"/>
      <c r="D627" s="76"/>
      <c r="E627" s="77"/>
      <c r="F627" s="78"/>
      <c r="G627" s="78"/>
      <c r="H627" s="79"/>
      <c r="I627" s="80"/>
      <c r="J627" s="77"/>
      <c r="K627" s="81" t="b">
        <v>0</v>
      </c>
      <c r="L627" s="78"/>
      <c r="M627" s="82"/>
      <c r="N627" s="78"/>
      <c r="O627" s="78"/>
      <c r="P627" s="78"/>
      <c r="Q627" s="78"/>
      <c r="R627" s="78"/>
      <c r="S627" s="78"/>
      <c r="T627" s="83"/>
    </row>
    <row r="628" spans="1:20" ht="15" customHeight="1" x14ac:dyDescent="0.3">
      <c r="A628" s="73"/>
      <c r="B628" s="74"/>
      <c r="C628" s="75"/>
      <c r="D628" s="76"/>
      <c r="E628" s="77"/>
      <c r="F628" s="78"/>
      <c r="G628" s="78"/>
      <c r="H628" s="79"/>
      <c r="I628" s="80"/>
      <c r="J628" s="77"/>
      <c r="K628" s="81" t="b">
        <v>0</v>
      </c>
      <c r="L628" s="78"/>
      <c r="M628" s="82"/>
      <c r="N628" s="78"/>
      <c r="O628" s="78"/>
      <c r="P628" s="78"/>
      <c r="Q628" s="78"/>
      <c r="R628" s="78"/>
      <c r="S628" s="78"/>
      <c r="T628" s="83"/>
    </row>
    <row r="629" spans="1:20" ht="15" customHeight="1" x14ac:dyDescent="0.3">
      <c r="A629" s="73"/>
      <c r="B629" s="74"/>
      <c r="C629" s="75"/>
      <c r="D629" s="76"/>
      <c r="E629" s="77"/>
      <c r="F629" s="78"/>
      <c r="G629" s="78"/>
      <c r="H629" s="79"/>
      <c r="I629" s="80"/>
      <c r="J629" s="77"/>
      <c r="K629" s="81" t="b">
        <v>0</v>
      </c>
      <c r="L629" s="78"/>
      <c r="M629" s="82"/>
      <c r="N629" s="78"/>
      <c r="O629" s="78"/>
      <c r="P629" s="78"/>
      <c r="Q629" s="78"/>
      <c r="R629" s="78"/>
      <c r="S629" s="78"/>
      <c r="T629" s="83"/>
    </row>
    <row r="630" spans="1:20" ht="15" customHeight="1" x14ac:dyDescent="0.3">
      <c r="A630" s="73"/>
      <c r="B630" s="74"/>
      <c r="C630" s="75"/>
      <c r="D630" s="76"/>
      <c r="E630" s="77"/>
      <c r="F630" s="78"/>
      <c r="G630" s="78"/>
      <c r="H630" s="79"/>
      <c r="I630" s="80"/>
      <c r="J630" s="77"/>
      <c r="K630" s="81" t="b">
        <v>0</v>
      </c>
      <c r="L630" s="78"/>
      <c r="M630" s="82"/>
      <c r="N630" s="78"/>
      <c r="O630" s="78"/>
      <c r="P630" s="78"/>
      <c r="Q630" s="78"/>
      <c r="R630" s="78"/>
      <c r="S630" s="78"/>
      <c r="T630" s="83"/>
    </row>
    <row r="631" spans="1:20" ht="15" customHeight="1" x14ac:dyDescent="0.3">
      <c r="A631" s="73"/>
      <c r="B631" s="74"/>
      <c r="C631" s="75"/>
      <c r="D631" s="76"/>
      <c r="E631" s="77"/>
      <c r="F631" s="78"/>
      <c r="G631" s="78"/>
      <c r="H631" s="79"/>
      <c r="I631" s="80"/>
      <c r="J631" s="77"/>
      <c r="K631" s="81" t="b">
        <v>0</v>
      </c>
      <c r="L631" s="78"/>
      <c r="M631" s="82"/>
      <c r="N631" s="78"/>
      <c r="O631" s="78"/>
      <c r="P631" s="78"/>
      <c r="Q631" s="78"/>
      <c r="R631" s="78"/>
      <c r="S631" s="78"/>
      <c r="T631" s="83"/>
    </row>
    <row r="632" spans="1:20" ht="15" customHeight="1" x14ac:dyDescent="0.3">
      <c r="A632" s="73"/>
      <c r="B632" s="74"/>
      <c r="C632" s="75"/>
      <c r="D632" s="76"/>
      <c r="E632" s="77"/>
      <c r="F632" s="78"/>
      <c r="G632" s="78"/>
      <c r="H632" s="79"/>
      <c r="I632" s="80"/>
      <c r="J632" s="77"/>
      <c r="K632" s="81" t="b">
        <v>0</v>
      </c>
      <c r="L632" s="78"/>
      <c r="M632" s="82"/>
      <c r="N632" s="78"/>
      <c r="O632" s="78"/>
      <c r="P632" s="78"/>
      <c r="Q632" s="78"/>
      <c r="R632" s="78"/>
      <c r="S632" s="78"/>
      <c r="T632" s="83"/>
    </row>
    <row r="633" spans="1:20" ht="15" customHeight="1" x14ac:dyDescent="0.3">
      <c r="A633" s="73"/>
      <c r="B633" s="74"/>
      <c r="C633" s="75"/>
      <c r="D633" s="76"/>
      <c r="E633" s="77"/>
      <c r="F633" s="78"/>
      <c r="G633" s="78"/>
      <c r="H633" s="79"/>
      <c r="I633" s="80"/>
      <c r="J633" s="77"/>
      <c r="K633" s="81" t="b">
        <v>0</v>
      </c>
      <c r="L633" s="78"/>
      <c r="M633" s="82"/>
      <c r="N633" s="78"/>
      <c r="O633" s="78"/>
      <c r="P633" s="78"/>
      <c r="Q633" s="78"/>
      <c r="R633" s="78"/>
      <c r="S633" s="78"/>
      <c r="T633" s="83"/>
    </row>
    <row r="634" spans="1:20" ht="15" customHeight="1" x14ac:dyDescent="0.3">
      <c r="A634" s="73"/>
      <c r="B634" s="74"/>
      <c r="C634" s="75"/>
      <c r="D634" s="76"/>
      <c r="E634" s="77"/>
      <c r="F634" s="78"/>
      <c r="G634" s="78"/>
      <c r="H634" s="79"/>
      <c r="I634" s="80"/>
      <c r="J634" s="77"/>
      <c r="K634" s="81" t="b">
        <v>0</v>
      </c>
      <c r="L634" s="78"/>
      <c r="M634" s="82"/>
      <c r="N634" s="78"/>
      <c r="O634" s="78"/>
      <c r="P634" s="78"/>
      <c r="Q634" s="78"/>
      <c r="R634" s="78"/>
      <c r="S634" s="78"/>
      <c r="T634" s="83"/>
    </row>
    <row r="635" spans="1:20" ht="15" customHeight="1" x14ac:dyDescent="0.3">
      <c r="A635" s="73"/>
      <c r="B635" s="74"/>
      <c r="C635" s="75"/>
      <c r="D635" s="76"/>
      <c r="E635" s="77"/>
      <c r="F635" s="78"/>
      <c r="G635" s="78"/>
      <c r="H635" s="79"/>
      <c r="I635" s="80"/>
      <c r="J635" s="77"/>
      <c r="K635" s="81" t="b">
        <v>0</v>
      </c>
      <c r="L635" s="78"/>
      <c r="M635" s="82"/>
      <c r="N635" s="78"/>
      <c r="O635" s="78"/>
      <c r="P635" s="78"/>
      <c r="Q635" s="78"/>
      <c r="R635" s="78"/>
      <c r="S635" s="78"/>
      <c r="T635" s="83"/>
    </row>
    <row r="636" spans="1:20" ht="15" customHeight="1" x14ac:dyDescent="0.3">
      <c r="A636" s="73"/>
      <c r="B636" s="74"/>
      <c r="C636" s="75"/>
      <c r="D636" s="76"/>
      <c r="E636" s="77"/>
      <c r="F636" s="78"/>
      <c r="G636" s="78"/>
      <c r="H636" s="79"/>
      <c r="I636" s="80"/>
      <c r="J636" s="77"/>
      <c r="K636" s="81" t="b">
        <v>0</v>
      </c>
      <c r="L636" s="78"/>
      <c r="M636" s="82"/>
      <c r="N636" s="78"/>
      <c r="O636" s="78"/>
      <c r="P636" s="78"/>
      <c r="Q636" s="78"/>
      <c r="R636" s="78"/>
      <c r="S636" s="78"/>
      <c r="T636" s="83"/>
    </row>
    <row r="637" spans="1:20" ht="15" customHeight="1" x14ac:dyDescent="0.3">
      <c r="A637" s="73"/>
      <c r="B637" s="74"/>
      <c r="C637" s="75"/>
      <c r="D637" s="76"/>
      <c r="E637" s="77"/>
      <c r="F637" s="78"/>
      <c r="G637" s="78"/>
      <c r="H637" s="79"/>
      <c r="I637" s="80"/>
      <c r="J637" s="77"/>
      <c r="K637" s="81" t="b">
        <v>0</v>
      </c>
      <c r="L637" s="78"/>
      <c r="M637" s="82"/>
      <c r="N637" s="78"/>
      <c r="O637" s="78"/>
      <c r="P637" s="78"/>
      <c r="Q637" s="78"/>
      <c r="R637" s="78"/>
      <c r="S637" s="78"/>
      <c r="T637" s="83"/>
    </row>
    <row r="638" spans="1:20" ht="15" customHeight="1" x14ac:dyDescent="0.3">
      <c r="A638" s="73"/>
      <c r="B638" s="74"/>
      <c r="C638" s="75"/>
      <c r="D638" s="76"/>
      <c r="E638" s="77"/>
      <c r="F638" s="78"/>
      <c r="G638" s="78"/>
      <c r="H638" s="79"/>
      <c r="I638" s="80"/>
      <c r="J638" s="77"/>
      <c r="K638" s="81" t="b">
        <v>0</v>
      </c>
      <c r="L638" s="78"/>
      <c r="M638" s="82"/>
      <c r="N638" s="78"/>
      <c r="O638" s="78"/>
      <c r="P638" s="78"/>
      <c r="Q638" s="78"/>
      <c r="R638" s="78"/>
      <c r="S638" s="78"/>
      <c r="T638" s="83"/>
    </row>
    <row r="639" spans="1:20" ht="15" customHeight="1" x14ac:dyDescent="0.3">
      <c r="A639" s="73"/>
      <c r="B639" s="74"/>
      <c r="C639" s="75"/>
      <c r="D639" s="76"/>
      <c r="E639" s="77"/>
      <c r="F639" s="78"/>
      <c r="G639" s="78"/>
      <c r="H639" s="79"/>
      <c r="I639" s="80"/>
      <c r="J639" s="77"/>
      <c r="K639" s="81" t="b">
        <v>0</v>
      </c>
      <c r="L639" s="78"/>
      <c r="M639" s="82"/>
      <c r="N639" s="78"/>
      <c r="O639" s="78"/>
      <c r="P639" s="78"/>
      <c r="Q639" s="78"/>
      <c r="R639" s="78"/>
      <c r="S639" s="78"/>
      <c r="T639" s="83"/>
    </row>
    <row r="640" spans="1:20" ht="15" customHeight="1" x14ac:dyDescent="0.3">
      <c r="A640" s="73"/>
      <c r="B640" s="74"/>
      <c r="C640" s="75"/>
      <c r="D640" s="76"/>
      <c r="E640" s="77"/>
      <c r="F640" s="78"/>
      <c r="G640" s="78"/>
      <c r="H640" s="79"/>
      <c r="I640" s="80"/>
      <c r="J640" s="77"/>
      <c r="K640" s="81" t="b">
        <v>0</v>
      </c>
      <c r="L640" s="78"/>
      <c r="M640" s="82"/>
      <c r="N640" s="78"/>
      <c r="O640" s="78"/>
      <c r="P640" s="78"/>
      <c r="Q640" s="78"/>
      <c r="R640" s="78"/>
      <c r="S640" s="78"/>
      <c r="T640" s="83"/>
    </row>
    <row r="641" spans="1:20" ht="15" customHeight="1" x14ac:dyDescent="0.3">
      <c r="A641" s="73"/>
      <c r="B641" s="74"/>
      <c r="C641" s="75"/>
      <c r="D641" s="76"/>
      <c r="E641" s="77"/>
      <c r="F641" s="78"/>
      <c r="G641" s="78"/>
      <c r="H641" s="79"/>
      <c r="I641" s="80"/>
      <c r="J641" s="77"/>
      <c r="K641" s="81" t="b">
        <v>0</v>
      </c>
      <c r="L641" s="78"/>
      <c r="M641" s="82"/>
      <c r="N641" s="78"/>
      <c r="O641" s="78"/>
      <c r="P641" s="78"/>
      <c r="Q641" s="78"/>
      <c r="R641" s="78"/>
      <c r="S641" s="78"/>
      <c r="T641" s="83"/>
    </row>
    <row r="642" spans="1:20" ht="15" customHeight="1" x14ac:dyDescent="0.3">
      <c r="A642" s="73"/>
      <c r="B642" s="74"/>
      <c r="C642" s="75"/>
      <c r="D642" s="76"/>
      <c r="E642" s="77"/>
      <c r="F642" s="78"/>
      <c r="G642" s="78"/>
      <c r="H642" s="79"/>
      <c r="I642" s="80"/>
      <c r="J642" s="77"/>
      <c r="K642" s="81" t="b">
        <v>0</v>
      </c>
      <c r="L642" s="78"/>
      <c r="M642" s="82"/>
      <c r="N642" s="78"/>
      <c r="O642" s="78"/>
      <c r="P642" s="78"/>
      <c r="Q642" s="78"/>
      <c r="R642" s="78"/>
      <c r="S642" s="78"/>
      <c r="T642" s="83"/>
    </row>
    <row r="643" spans="1:20" ht="15" customHeight="1" x14ac:dyDescent="0.3">
      <c r="A643" s="73"/>
      <c r="B643" s="74"/>
      <c r="C643" s="75"/>
      <c r="D643" s="76"/>
      <c r="E643" s="77"/>
      <c r="F643" s="78"/>
      <c r="G643" s="78"/>
      <c r="H643" s="79"/>
      <c r="I643" s="80"/>
      <c r="J643" s="77"/>
      <c r="K643" s="81" t="b">
        <v>0</v>
      </c>
      <c r="L643" s="78"/>
      <c r="M643" s="82"/>
      <c r="N643" s="78"/>
      <c r="O643" s="78"/>
      <c r="P643" s="78"/>
      <c r="Q643" s="78"/>
      <c r="R643" s="78"/>
      <c r="S643" s="78"/>
      <c r="T643" s="83"/>
    </row>
    <row r="644" spans="1:20" ht="15" customHeight="1" x14ac:dyDescent="0.3">
      <c r="A644" s="73"/>
      <c r="B644" s="74"/>
      <c r="C644" s="75"/>
      <c r="D644" s="76"/>
      <c r="E644" s="77"/>
      <c r="F644" s="78"/>
      <c r="G644" s="78"/>
      <c r="H644" s="79"/>
      <c r="I644" s="80"/>
      <c r="J644" s="77"/>
      <c r="K644" s="81" t="b">
        <v>0</v>
      </c>
      <c r="L644" s="78"/>
      <c r="M644" s="82"/>
      <c r="N644" s="78"/>
      <c r="O644" s="78"/>
      <c r="P644" s="78"/>
      <c r="Q644" s="78"/>
      <c r="R644" s="78"/>
      <c r="S644" s="78"/>
      <c r="T644" s="83"/>
    </row>
    <row r="645" spans="1:20" ht="15" customHeight="1" x14ac:dyDescent="0.3">
      <c r="A645" s="73"/>
      <c r="B645" s="74"/>
      <c r="C645" s="75"/>
      <c r="D645" s="76"/>
      <c r="E645" s="77"/>
      <c r="F645" s="78"/>
      <c r="G645" s="78"/>
      <c r="H645" s="79"/>
      <c r="I645" s="80"/>
      <c r="J645" s="77"/>
      <c r="K645" s="81" t="b">
        <v>0</v>
      </c>
      <c r="L645" s="78"/>
      <c r="M645" s="82"/>
      <c r="N645" s="78"/>
      <c r="O645" s="78"/>
      <c r="P645" s="78"/>
      <c r="Q645" s="78"/>
      <c r="R645" s="78"/>
      <c r="S645" s="78"/>
      <c r="T645" s="83"/>
    </row>
    <row r="646" spans="1:20" ht="15" customHeight="1" x14ac:dyDescent="0.3">
      <c r="A646" s="73"/>
      <c r="B646" s="74"/>
      <c r="C646" s="75"/>
      <c r="D646" s="76"/>
      <c r="E646" s="77"/>
      <c r="F646" s="78"/>
      <c r="G646" s="78"/>
      <c r="H646" s="79"/>
      <c r="I646" s="80"/>
      <c r="J646" s="77"/>
      <c r="K646" s="81" t="b">
        <v>0</v>
      </c>
      <c r="L646" s="78"/>
      <c r="M646" s="82"/>
      <c r="N646" s="78"/>
      <c r="O646" s="78"/>
      <c r="P646" s="78"/>
      <c r="Q646" s="78"/>
      <c r="R646" s="78"/>
      <c r="S646" s="78"/>
      <c r="T646" s="83"/>
    </row>
    <row r="647" spans="1:20" ht="15" customHeight="1" x14ac:dyDescent="0.3">
      <c r="A647" s="73"/>
      <c r="B647" s="74"/>
      <c r="C647" s="75"/>
      <c r="D647" s="76"/>
      <c r="E647" s="77"/>
      <c r="F647" s="78"/>
      <c r="G647" s="78"/>
      <c r="H647" s="79"/>
      <c r="I647" s="80"/>
      <c r="J647" s="77"/>
      <c r="K647" s="81" t="b">
        <v>0</v>
      </c>
      <c r="L647" s="78"/>
      <c r="M647" s="82"/>
      <c r="N647" s="78"/>
      <c r="O647" s="78"/>
      <c r="P647" s="78"/>
      <c r="Q647" s="78"/>
      <c r="R647" s="78"/>
      <c r="S647" s="78"/>
      <c r="T647" s="83"/>
    </row>
    <row r="648" spans="1:20" ht="15" customHeight="1" x14ac:dyDescent="0.3">
      <c r="A648" s="73"/>
      <c r="B648" s="74"/>
      <c r="C648" s="75"/>
      <c r="D648" s="76"/>
      <c r="E648" s="77"/>
      <c r="F648" s="78"/>
      <c r="G648" s="78"/>
      <c r="H648" s="79"/>
      <c r="I648" s="80"/>
      <c r="J648" s="77"/>
      <c r="K648" s="81" t="b">
        <v>0</v>
      </c>
      <c r="L648" s="78"/>
      <c r="M648" s="82"/>
      <c r="N648" s="78"/>
      <c r="O648" s="78"/>
      <c r="P648" s="78"/>
      <c r="Q648" s="78"/>
      <c r="R648" s="78"/>
      <c r="S648" s="78"/>
      <c r="T648" s="83"/>
    </row>
    <row r="649" spans="1:20" ht="15" customHeight="1" x14ac:dyDescent="0.3">
      <c r="A649" s="73"/>
      <c r="B649" s="74"/>
      <c r="C649" s="75"/>
      <c r="D649" s="76"/>
      <c r="E649" s="77"/>
      <c r="F649" s="78"/>
      <c r="G649" s="78"/>
      <c r="H649" s="79"/>
      <c r="I649" s="80"/>
      <c r="J649" s="77"/>
      <c r="K649" s="81" t="b">
        <v>0</v>
      </c>
      <c r="L649" s="78"/>
      <c r="M649" s="82"/>
      <c r="N649" s="78"/>
      <c r="O649" s="78"/>
      <c r="P649" s="78"/>
      <c r="Q649" s="78"/>
      <c r="R649" s="78"/>
      <c r="S649" s="78"/>
      <c r="T649" s="83"/>
    </row>
    <row r="650" spans="1:20" ht="15" customHeight="1" x14ac:dyDescent="0.3">
      <c r="A650" s="73"/>
      <c r="B650" s="74"/>
      <c r="C650" s="75"/>
      <c r="D650" s="76"/>
      <c r="E650" s="77"/>
      <c r="F650" s="78"/>
      <c r="G650" s="78"/>
      <c r="H650" s="79"/>
      <c r="I650" s="80"/>
      <c r="J650" s="77"/>
      <c r="K650" s="81" t="b">
        <v>0</v>
      </c>
      <c r="L650" s="78"/>
      <c r="M650" s="82"/>
      <c r="N650" s="78"/>
      <c r="O650" s="78"/>
      <c r="P650" s="78"/>
      <c r="Q650" s="78"/>
      <c r="R650" s="78"/>
      <c r="S650" s="78"/>
      <c r="T650" s="83"/>
    </row>
    <row r="651" spans="1:20" ht="15" customHeight="1" x14ac:dyDescent="0.3">
      <c r="A651" s="73"/>
      <c r="B651" s="74"/>
      <c r="C651" s="75"/>
      <c r="D651" s="76"/>
      <c r="E651" s="77"/>
      <c r="F651" s="78"/>
      <c r="G651" s="78"/>
      <c r="H651" s="79"/>
      <c r="I651" s="80"/>
      <c r="J651" s="77"/>
      <c r="K651" s="81" t="b">
        <v>0</v>
      </c>
      <c r="L651" s="78"/>
      <c r="M651" s="82"/>
      <c r="N651" s="78"/>
      <c r="O651" s="78"/>
      <c r="P651" s="78"/>
      <c r="Q651" s="78"/>
      <c r="R651" s="78"/>
      <c r="S651" s="78"/>
      <c r="T651" s="83"/>
    </row>
    <row r="652" spans="1:20" ht="15" customHeight="1" x14ac:dyDescent="0.3">
      <c r="A652" s="73"/>
      <c r="B652" s="74"/>
      <c r="C652" s="75"/>
      <c r="D652" s="76"/>
      <c r="E652" s="77"/>
      <c r="F652" s="78"/>
      <c r="G652" s="78"/>
      <c r="H652" s="79"/>
      <c r="I652" s="80"/>
      <c r="J652" s="77"/>
      <c r="K652" s="81" t="b">
        <v>0</v>
      </c>
      <c r="L652" s="78"/>
      <c r="M652" s="82"/>
      <c r="N652" s="78"/>
      <c r="O652" s="78"/>
      <c r="P652" s="78"/>
      <c r="Q652" s="78"/>
      <c r="R652" s="78"/>
      <c r="S652" s="78"/>
      <c r="T652" s="83"/>
    </row>
    <row r="653" spans="1:20" ht="15" customHeight="1" x14ac:dyDescent="0.3">
      <c r="A653" s="73"/>
      <c r="B653" s="74"/>
      <c r="C653" s="75"/>
      <c r="D653" s="76"/>
      <c r="E653" s="77"/>
      <c r="F653" s="78"/>
      <c r="G653" s="78"/>
      <c r="H653" s="79"/>
      <c r="I653" s="80"/>
      <c r="J653" s="77"/>
      <c r="K653" s="81" t="b">
        <v>0</v>
      </c>
      <c r="L653" s="78"/>
      <c r="M653" s="82"/>
      <c r="N653" s="78"/>
      <c r="O653" s="78"/>
      <c r="P653" s="78"/>
      <c r="Q653" s="78"/>
      <c r="R653" s="78"/>
      <c r="S653" s="78"/>
      <c r="T653" s="83"/>
    </row>
    <row r="654" spans="1:20" ht="15" customHeight="1" x14ac:dyDescent="0.3">
      <c r="A654" s="73"/>
      <c r="B654" s="74"/>
      <c r="C654" s="75"/>
      <c r="D654" s="76"/>
      <c r="E654" s="77"/>
      <c r="F654" s="78"/>
      <c r="G654" s="78"/>
      <c r="H654" s="79"/>
      <c r="I654" s="80"/>
      <c r="J654" s="77"/>
      <c r="K654" s="81" t="b">
        <v>0</v>
      </c>
      <c r="L654" s="78"/>
      <c r="M654" s="82"/>
      <c r="N654" s="78"/>
      <c r="O654" s="78"/>
      <c r="P654" s="78"/>
      <c r="Q654" s="78"/>
      <c r="R654" s="78"/>
      <c r="S654" s="78"/>
      <c r="T654" s="83"/>
    </row>
    <row r="655" spans="1:20" ht="15" customHeight="1" x14ac:dyDescent="0.3">
      <c r="A655" s="73"/>
      <c r="B655" s="74"/>
      <c r="C655" s="75"/>
      <c r="D655" s="76"/>
      <c r="E655" s="77"/>
      <c r="F655" s="78"/>
      <c r="G655" s="78"/>
      <c r="H655" s="79"/>
      <c r="I655" s="80"/>
      <c r="J655" s="77"/>
      <c r="K655" s="81" t="b">
        <v>0</v>
      </c>
      <c r="L655" s="78"/>
      <c r="M655" s="82"/>
      <c r="N655" s="78"/>
      <c r="O655" s="78"/>
      <c r="P655" s="78"/>
      <c r="Q655" s="78"/>
      <c r="R655" s="78"/>
      <c r="S655" s="78"/>
      <c r="T655" s="83"/>
    </row>
    <row r="656" spans="1:20" ht="15" customHeight="1" x14ac:dyDescent="0.3">
      <c r="A656" s="73"/>
      <c r="B656" s="74"/>
      <c r="C656" s="75"/>
      <c r="D656" s="76"/>
      <c r="E656" s="77"/>
      <c r="F656" s="78"/>
      <c r="G656" s="78"/>
      <c r="H656" s="79"/>
      <c r="I656" s="80"/>
      <c r="J656" s="77"/>
      <c r="K656" s="81" t="b">
        <v>0</v>
      </c>
      <c r="L656" s="78"/>
      <c r="M656" s="82"/>
      <c r="N656" s="78"/>
      <c r="O656" s="78"/>
      <c r="P656" s="78"/>
      <c r="Q656" s="78"/>
      <c r="R656" s="78"/>
      <c r="S656" s="78"/>
      <c r="T656" s="83"/>
    </row>
    <row r="657" spans="1:20" ht="15" customHeight="1" x14ac:dyDescent="0.3">
      <c r="A657" s="73"/>
      <c r="B657" s="74"/>
      <c r="C657" s="75"/>
      <c r="D657" s="76"/>
      <c r="E657" s="77"/>
      <c r="F657" s="78"/>
      <c r="G657" s="78"/>
      <c r="H657" s="79"/>
      <c r="I657" s="80"/>
      <c r="J657" s="77"/>
      <c r="K657" s="81" t="b">
        <v>0</v>
      </c>
      <c r="L657" s="78"/>
      <c r="M657" s="82"/>
      <c r="N657" s="78"/>
      <c r="O657" s="78"/>
      <c r="P657" s="78"/>
      <c r="Q657" s="78"/>
      <c r="R657" s="78"/>
      <c r="S657" s="78"/>
      <c r="T657" s="83"/>
    </row>
    <row r="658" spans="1:20" ht="15" customHeight="1" x14ac:dyDescent="0.3">
      <c r="A658" s="73"/>
      <c r="B658" s="74"/>
      <c r="C658" s="75"/>
      <c r="D658" s="76"/>
      <c r="E658" s="77"/>
      <c r="F658" s="78"/>
      <c r="G658" s="78"/>
      <c r="H658" s="79"/>
      <c r="I658" s="80"/>
      <c r="J658" s="77"/>
      <c r="K658" s="81" t="b">
        <v>0</v>
      </c>
      <c r="L658" s="78"/>
      <c r="M658" s="82"/>
      <c r="N658" s="78"/>
      <c r="O658" s="78"/>
      <c r="P658" s="78"/>
      <c r="Q658" s="78"/>
      <c r="R658" s="78"/>
      <c r="S658" s="78"/>
      <c r="T658" s="83"/>
    </row>
    <row r="659" spans="1:20" ht="15" customHeight="1" x14ac:dyDescent="0.3">
      <c r="A659" s="73"/>
      <c r="B659" s="74"/>
      <c r="C659" s="75"/>
      <c r="D659" s="76"/>
      <c r="E659" s="77"/>
      <c r="F659" s="78"/>
      <c r="G659" s="78"/>
      <c r="H659" s="79"/>
      <c r="I659" s="80"/>
      <c r="J659" s="77"/>
      <c r="K659" s="81" t="b">
        <v>0</v>
      </c>
      <c r="L659" s="78"/>
      <c r="M659" s="82"/>
      <c r="N659" s="78"/>
      <c r="O659" s="78"/>
      <c r="P659" s="78"/>
      <c r="Q659" s="78"/>
      <c r="R659" s="78"/>
      <c r="S659" s="78"/>
      <c r="T659" s="83"/>
    </row>
    <row r="660" spans="1:20" ht="15" customHeight="1" x14ac:dyDescent="0.3">
      <c r="A660" s="73"/>
      <c r="B660" s="74"/>
      <c r="C660" s="75"/>
      <c r="D660" s="76"/>
      <c r="E660" s="77"/>
      <c r="F660" s="78"/>
      <c r="G660" s="78"/>
      <c r="H660" s="79"/>
      <c r="I660" s="80"/>
      <c r="J660" s="77"/>
      <c r="K660" s="81" t="b">
        <v>0</v>
      </c>
      <c r="L660" s="78"/>
      <c r="M660" s="82"/>
      <c r="N660" s="78"/>
      <c r="O660" s="78"/>
      <c r="P660" s="78"/>
      <c r="Q660" s="78"/>
      <c r="R660" s="78"/>
      <c r="S660" s="78"/>
      <c r="T660" s="83"/>
    </row>
    <row r="661" spans="1:20" ht="15" customHeight="1" x14ac:dyDescent="0.3">
      <c r="A661" s="73"/>
      <c r="B661" s="74"/>
      <c r="C661" s="75"/>
      <c r="D661" s="76"/>
      <c r="E661" s="77"/>
      <c r="F661" s="78"/>
      <c r="G661" s="78"/>
      <c r="H661" s="79"/>
      <c r="I661" s="80"/>
      <c r="J661" s="77"/>
      <c r="K661" s="81" t="b">
        <v>0</v>
      </c>
      <c r="L661" s="78"/>
      <c r="M661" s="82"/>
      <c r="N661" s="78"/>
      <c r="O661" s="78"/>
      <c r="P661" s="78"/>
      <c r="Q661" s="78"/>
      <c r="R661" s="78"/>
      <c r="S661" s="78"/>
      <c r="T661" s="83"/>
    </row>
    <row r="662" spans="1:20" ht="15" customHeight="1" x14ac:dyDescent="0.3">
      <c r="A662" s="73"/>
      <c r="B662" s="74"/>
      <c r="C662" s="75"/>
      <c r="D662" s="76"/>
      <c r="E662" s="77"/>
      <c r="F662" s="78"/>
      <c r="G662" s="78"/>
      <c r="H662" s="79"/>
      <c r="I662" s="80"/>
      <c r="J662" s="77"/>
      <c r="K662" s="81" t="b">
        <v>0</v>
      </c>
      <c r="L662" s="78"/>
      <c r="M662" s="82"/>
      <c r="N662" s="78"/>
      <c r="O662" s="78"/>
      <c r="P662" s="78"/>
      <c r="Q662" s="78"/>
      <c r="R662" s="78"/>
      <c r="S662" s="78"/>
      <c r="T662" s="83"/>
    </row>
    <row r="663" spans="1:20" ht="15" customHeight="1" x14ac:dyDescent="0.3">
      <c r="A663" s="73"/>
      <c r="B663" s="74"/>
      <c r="C663" s="75"/>
      <c r="D663" s="76"/>
      <c r="E663" s="77"/>
      <c r="F663" s="78"/>
      <c r="G663" s="78"/>
      <c r="H663" s="79"/>
      <c r="I663" s="80"/>
      <c r="J663" s="77"/>
      <c r="K663" s="81" t="b">
        <v>0</v>
      </c>
      <c r="L663" s="78"/>
      <c r="M663" s="82"/>
      <c r="N663" s="78"/>
      <c r="O663" s="78"/>
      <c r="P663" s="78"/>
      <c r="Q663" s="78"/>
      <c r="R663" s="78"/>
      <c r="S663" s="78"/>
      <c r="T663" s="83"/>
    </row>
    <row r="664" spans="1:20" ht="15" customHeight="1" x14ac:dyDescent="0.3">
      <c r="A664" s="73"/>
      <c r="B664" s="74"/>
      <c r="C664" s="75"/>
      <c r="D664" s="76"/>
      <c r="E664" s="77"/>
      <c r="F664" s="78"/>
      <c r="G664" s="78"/>
      <c r="H664" s="79"/>
      <c r="I664" s="80"/>
      <c r="J664" s="77"/>
      <c r="K664" s="81" t="b">
        <v>0</v>
      </c>
      <c r="L664" s="78"/>
      <c r="M664" s="82"/>
      <c r="N664" s="78"/>
      <c r="O664" s="78"/>
      <c r="P664" s="78"/>
      <c r="Q664" s="78"/>
      <c r="R664" s="78"/>
      <c r="S664" s="78"/>
      <c r="T664" s="83"/>
    </row>
    <row r="665" spans="1:20" ht="15" customHeight="1" x14ac:dyDescent="0.3">
      <c r="A665" s="73"/>
      <c r="B665" s="74"/>
      <c r="C665" s="75"/>
      <c r="D665" s="76"/>
      <c r="E665" s="77"/>
      <c r="F665" s="78"/>
      <c r="G665" s="78"/>
      <c r="H665" s="79"/>
      <c r="I665" s="80"/>
      <c r="J665" s="77"/>
      <c r="K665" s="81" t="b">
        <v>0</v>
      </c>
      <c r="L665" s="78"/>
      <c r="M665" s="82"/>
      <c r="N665" s="78"/>
      <c r="O665" s="78"/>
      <c r="P665" s="78"/>
      <c r="Q665" s="78"/>
      <c r="R665" s="78"/>
      <c r="S665" s="78"/>
      <c r="T665" s="83"/>
    </row>
    <row r="666" spans="1:20" ht="15" customHeight="1" x14ac:dyDescent="0.3">
      <c r="A666" s="73"/>
      <c r="B666" s="74"/>
      <c r="C666" s="75"/>
      <c r="D666" s="76"/>
      <c r="E666" s="77"/>
      <c r="F666" s="78"/>
      <c r="G666" s="78"/>
      <c r="H666" s="79"/>
      <c r="I666" s="80"/>
      <c r="J666" s="77"/>
      <c r="K666" s="81" t="b">
        <v>0</v>
      </c>
      <c r="L666" s="78"/>
      <c r="M666" s="82"/>
      <c r="N666" s="78"/>
      <c r="O666" s="78"/>
      <c r="P666" s="78"/>
      <c r="Q666" s="78"/>
      <c r="R666" s="78"/>
      <c r="S666" s="78"/>
      <c r="T666" s="83"/>
    </row>
    <row r="667" spans="1:20" ht="15" customHeight="1" x14ac:dyDescent="0.3">
      <c r="A667" s="73"/>
      <c r="B667" s="74"/>
      <c r="C667" s="75"/>
      <c r="D667" s="76"/>
      <c r="E667" s="77"/>
      <c r="F667" s="78"/>
      <c r="G667" s="78"/>
      <c r="H667" s="79"/>
      <c r="I667" s="80"/>
      <c r="J667" s="77"/>
      <c r="K667" s="81" t="b">
        <v>0</v>
      </c>
      <c r="L667" s="78"/>
      <c r="M667" s="82"/>
      <c r="N667" s="78"/>
      <c r="O667" s="78"/>
      <c r="P667" s="78"/>
      <c r="Q667" s="78"/>
      <c r="R667" s="78"/>
      <c r="S667" s="78"/>
      <c r="T667" s="83"/>
    </row>
    <row r="668" spans="1:20" ht="15" customHeight="1" x14ac:dyDescent="0.3">
      <c r="A668" s="73"/>
      <c r="B668" s="74"/>
      <c r="C668" s="75"/>
      <c r="D668" s="76"/>
      <c r="E668" s="77"/>
      <c r="F668" s="78"/>
      <c r="G668" s="78"/>
      <c r="H668" s="79"/>
      <c r="I668" s="80"/>
      <c r="J668" s="77"/>
      <c r="K668" s="81" t="b">
        <v>0</v>
      </c>
      <c r="L668" s="78"/>
      <c r="M668" s="82"/>
      <c r="N668" s="78"/>
      <c r="O668" s="78"/>
      <c r="P668" s="78"/>
      <c r="Q668" s="78"/>
      <c r="R668" s="78"/>
      <c r="S668" s="78"/>
      <c r="T668" s="83"/>
    </row>
    <row r="669" spans="1:20" ht="15" customHeight="1" x14ac:dyDescent="0.3">
      <c r="A669" s="73"/>
      <c r="B669" s="74"/>
      <c r="C669" s="75"/>
      <c r="D669" s="76"/>
      <c r="E669" s="77"/>
      <c r="F669" s="78"/>
      <c r="G669" s="78"/>
      <c r="H669" s="79"/>
      <c r="I669" s="80"/>
      <c r="J669" s="77"/>
      <c r="K669" s="81" t="b">
        <v>0</v>
      </c>
      <c r="L669" s="78"/>
      <c r="M669" s="82"/>
      <c r="N669" s="78"/>
      <c r="O669" s="78"/>
      <c r="P669" s="78"/>
      <c r="Q669" s="78"/>
      <c r="R669" s="78"/>
      <c r="S669" s="78"/>
      <c r="T669" s="83"/>
    </row>
    <row r="670" spans="1:20" ht="15" customHeight="1" x14ac:dyDescent="0.3">
      <c r="A670" s="73"/>
      <c r="B670" s="74"/>
      <c r="C670" s="75"/>
      <c r="D670" s="76"/>
      <c r="E670" s="77"/>
      <c r="F670" s="78"/>
      <c r="G670" s="78"/>
      <c r="H670" s="79"/>
      <c r="I670" s="80"/>
      <c r="J670" s="77"/>
      <c r="K670" s="81" t="b">
        <v>0</v>
      </c>
      <c r="L670" s="78"/>
      <c r="M670" s="82"/>
      <c r="N670" s="78"/>
      <c r="O670" s="78"/>
      <c r="P670" s="78"/>
      <c r="Q670" s="78"/>
      <c r="R670" s="78"/>
      <c r="S670" s="78"/>
      <c r="T670" s="83"/>
    </row>
    <row r="671" spans="1:20" ht="15" customHeight="1" x14ac:dyDescent="0.3">
      <c r="A671" s="73"/>
      <c r="B671" s="74"/>
      <c r="C671" s="75"/>
      <c r="D671" s="76"/>
      <c r="E671" s="77"/>
      <c r="F671" s="78"/>
      <c r="G671" s="78"/>
      <c r="H671" s="79"/>
      <c r="I671" s="80"/>
      <c r="J671" s="77"/>
      <c r="K671" s="81" t="b">
        <v>0</v>
      </c>
      <c r="L671" s="78"/>
      <c r="M671" s="82"/>
      <c r="N671" s="78"/>
      <c r="O671" s="78"/>
      <c r="P671" s="78"/>
      <c r="Q671" s="78"/>
      <c r="R671" s="78"/>
      <c r="S671" s="78"/>
      <c r="T671" s="83"/>
    </row>
    <row r="672" spans="1:20" ht="15" customHeight="1" x14ac:dyDescent="0.3">
      <c r="A672" s="73"/>
      <c r="B672" s="74"/>
      <c r="C672" s="75"/>
      <c r="D672" s="76"/>
      <c r="E672" s="77"/>
      <c r="F672" s="78"/>
      <c r="G672" s="78"/>
      <c r="H672" s="79"/>
      <c r="I672" s="80"/>
      <c r="J672" s="77"/>
      <c r="K672" s="81" t="b">
        <v>0</v>
      </c>
      <c r="L672" s="78"/>
      <c r="M672" s="82"/>
      <c r="N672" s="78"/>
      <c r="O672" s="78"/>
      <c r="P672" s="78"/>
      <c r="Q672" s="78"/>
      <c r="R672" s="78"/>
      <c r="S672" s="78"/>
      <c r="T672" s="83"/>
    </row>
    <row r="673" spans="1:20" ht="15" customHeight="1" x14ac:dyDescent="0.3">
      <c r="A673" s="73"/>
      <c r="B673" s="74"/>
      <c r="C673" s="75"/>
      <c r="D673" s="76"/>
      <c r="E673" s="77"/>
      <c r="F673" s="78"/>
      <c r="G673" s="78"/>
      <c r="H673" s="79"/>
      <c r="I673" s="80"/>
      <c r="J673" s="77"/>
      <c r="K673" s="81" t="b">
        <v>0</v>
      </c>
      <c r="L673" s="78"/>
      <c r="M673" s="82"/>
      <c r="N673" s="78"/>
      <c r="O673" s="78"/>
      <c r="P673" s="78"/>
      <c r="Q673" s="78"/>
      <c r="R673" s="78"/>
      <c r="S673" s="78"/>
      <c r="T673" s="83"/>
    </row>
    <row r="674" spans="1:20" ht="15" customHeight="1" x14ac:dyDescent="0.3">
      <c r="A674" s="73"/>
      <c r="B674" s="74"/>
      <c r="C674" s="75"/>
      <c r="D674" s="76"/>
      <c r="E674" s="77"/>
      <c r="F674" s="78"/>
      <c r="G674" s="78"/>
      <c r="H674" s="79"/>
      <c r="I674" s="80"/>
      <c r="J674" s="77"/>
      <c r="K674" s="81" t="b">
        <v>0</v>
      </c>
      <c r="L674" s="78"/>
      <c r="M674" s="82"/>
      <c r="N674" s="78"/>
      <c r="O674" s="78"/>
      <c r="P674" s="78"/>
      <c r="Q674" s="78"/>
      <c r="R674" s="78"/>
      <c r="S674" s="78"/>
      <c r="T674" s="83"/>
    </row>
    <row r="675" spans="1:20" ht="15" customHeight="1" x14ac:dyDescent="0.3">
      <c r="A675" s="73"/>
      <c r="B675" s="74"/>
      <c r="C675" s="75"/>
      <c r="D675" s="76"/>
      <c r="E675" s="77"/>
      <c r="F675" s="78"/>
      <c r="G675" s="78"/>
      <c r="H675" s="79"/>
      <c r="I675" s="80"/>
      <c r="J675" s="77"/>
      <c r="K675" s="81" t="b">
        <v>0</v>
      </c>
      <c r="L675" s="78"/>
      <c r="M675" s="82"/>
      <c r="N675" s="78"/>
      <c r="O675" s="78"/>
      <c r="P675" s="78"/>
      <c r="Q675" s="78"/>
      <c r="R675" s="78"/>
      <c r="S675" s="78"/>
      <c r="T675" s="83"/>
    </row>
    <row r="676" spans="1:20" ht="15" customHeight="1" x14ac:dyDescent="0.3">
      <c r="A676" s="73"/>
      <c r="B676" s="74"/>
      <c r="C676" s="75"/>
      <c r="D676" s="76"/>
      <c r="E676" s="77"/>
      <c r="F676" s="78"/>
      <c r="G676" s="78"/>
      <c r="H676" s="79"/>
      <c r="I676" s="80"/>
      <c r="J676" s="77"/>
      <c r="K676" s="81" t="b">
        <v>0</v>
      </c>
      <c r="L676" s="78"/>
      <c r="M676" s="82"/>
      <c r="N676" s="78"/>
      <c r="O676" s="78"/>
      <c r="P676" s="78"/>
      <c r="Q676" s="78"/>
      <c r="R676" s="78"/>
      <c r="S676" s="78"/>
      <c r="T676" s="83"/>
    </row>
    <row r="677" spans="1:20" ht="15" customHeight="1" x14ac:dyDescent="0.3">
      <c r="A677" s="73"/>
      <c r="B677" s="74"/>
      <c r="C677" s="75"/>
      <c r="D677" s="76"/>
      <c r="E677" s="77"/>
      <c r="F677" s="78"/>
      <c r="G677" s="78"/>
      <c r="H677" s="79"/>
      <c r="I677" s="80"/>
      <c r="J677" s="77"/>
      <c r="K677" s="81" t="b">
        <v>0</v>
      </c>
      <c r="L677" s="78"/>
      <c r="M677" s="82"/>
      <c r="N677" s="78"/>
      <c r="O677" s="78"/>
      <c r="P677" s="78"/>
      <c r="Q677" s="78"/>
      <c r="R677" s="78"/>
      <c r="S677" s="78"/>
      <c r="T677" s="83"/>
    </row>
    <row r="678" spans="1:20" ht="15" customHeight="1" x14ac:dyDescent="0.3">
      <c r="A678" s="73"/>
      <c r="B678" s="74"/>
      <c r="C678" s="75"/>
      <c r="D678" s="76"/>
      <c r="E678" s="77"/>
      <c r="F678" s="78"/>
      <c r="G678" s="78"/>
      <c r="H678" s="79"/>
      <c r="I678" s="80"/>
      <c r="J678" s="77"/>
      <c r="K678" s="81" t="b">
        <v>0</v>
      </c>
      <c r="L678" s="78"/>
      <c r="M678" s="82"/>
      <c r="N678" s="78"/>
      <c r="O678" s="78"/>
      <c r="P678" s="78"/>
      <c r="Q678" s="78"/>
      <c r="R678" s="78"/>
      <c r="S678" s="78"/>
      <c r="T678" s="83"/>
    </row>
    <row r="679" spans="1:20" ht="15" customHeight="1" x14ac:dyDescent="0.3">
      <c r="A679" s="73"/>
      <c r="B679" s="74"/>
      <c r="C679" s="75"/>
      <c r="D679" s="76"/>
      <c r="E679" s="77"/>
      <c r="F679" s="78"/>
      <c r="G679" s="78"/>
      <c r="H679" s="79"/>
      <c r="I679" s="80"/>
      <c r="J679" s="77"/>
      <c r="K679" s="81" t="b">
        <v>0</v>
      </c>
      <c r="L679" s="78"/>
      <c r="M679" s="82"/>
      <c r="N679" s="78"/>
      <c r="O679" s="78"/>
      <c r="P679" s="78"/>
      <c r="Q679" s="78"/>
      <c r="R679" s="78"/>
      <c r="S679" s="78"/>
      <c r="T679" s="83"/>
    </row>
    <row r="680" spans="1:20" ht="15" customHeight="1" x14ac:dyDescent="0.3">
      <c r="A680" s="73"/>
      <c r="B680" s="74"/>
      <c r="C680" s="75"/>
      <c r="D680" s="76"/>
      <c r="E680" s="77"/>
      <c r="F680" s="78"/>
      <c r="G680" s="78"/>
      <c r="H680" s="79"/>
      <c r="I680" s="80"/>
      <c r="J680" s="77"/>
      <c r="K680" s="81" t="b">
        <v>0</v>
      </c>
      <c r="L680" s="78"/>
      <c r="M680" s="82"/>
      <c r="N680" s="78"/>
      <c r="O680" s="78"/>
      <c r="P680" s="78"/>
      <c r="Q680" s="78"/>
      <c r="R680" s="78"/>
      <c r="S680" s="78"/>
      <c r="T680" s="83"/>
    </row>
    <row r="681" spans="1:20" ht="15" customHeight="1" x14ac:dyDescent="0.3">
      <c r="A681" s="73"/>
      <c r="B681" s="74"/>
      <c r="C681" s="75"/>
      <c r="D681" s="76"/>
      <c r="E681" s="77"/>
      <c r="F681" s="78"/>
      <c r="G681" s="78"/>
      <c r="H681" s="79"/>
      <c r="I681" s="80"/>
      <c r="J681" s="77"/>
      <c r="K681" s="81" t="b">
        <v>0</v>
      </c>
      <c r="L681" s="78"/>
      <c r="M681" s="82"/>
      <c r="N681" s="78"/>
      <c r="O681" s="78"/>
      <c r="P681" s="78"/>
      <c r="Q681" s="78"/>
      <c r="R681" s="78"/>
      <c r="S681" s="78"/>
      <c r="T681" s="83"/>
    </row>
    <row r="682" spans="1:20" ht="15" customHeight="1" x14ac:dyDescent="0.3">
      <c r="A682" s="73"/>
      <c r="B682" s="74"/>
      <c r="C682" s="75"/>
      <c r="D682" s="76"/>
      <c r="E682" s="77"/>
      <c r="F682" s="78"/>
      <c r="G682" s="78"/>
      <c r="H682" s="79"/>
      <c r="I682" s="80"/>
      <c r="J682" s="77"/>
      <c r="K682" s="81" t="b">
        <v>0</v>
      </c>
      <c r="L682" s="78"/>
      <c r="M682" s="82"/>
      <c r="N682" s="78"/>
      <c r="O682" s="78"/>
      <c r="P682" s="78"/>
      <c r="Q682" s="78"/>
      <c r="R682" s="78"/>
      <c r="S682" s="78"/>
      <c r="T682" s="83"/>
    </row>
    <row r="683" spans="1:20" ht="15" customHeight="1" x14ac:dyDescent="0.3">
      <c r="A683" s="73"/>
      <c r="B683" s="74"/>
      <c r="C683" s="75"/>
      <c r="D683" s="76"/>
      <c r="E683" s="77"/>
      <c r="F683" s="78"/>
      <c r="G683" s="78"/>
      <c r="H683" s="79"/>
      <c r="I683" s="80"/>
      <c r="J683" s="77"/>
      <c r="K683" s="81" t="b">
        <v>0</v>
      </c>
      <c r="L683" s="78"/>
      <c r="M683" s="82"/>
      <c r="N683" s="78"/>
      <c r="O683" s="78"/>
      <c r="P683" s="78"/>
      <c r="Q683" s="78"/>
      <c r="R683" s="78"/>
      <c r="S683" s="78"/>
      <c r="T683" s="83"/>
    </row>
    <row r="684" spans="1:20" ht="15" customHeight="1" x14ac:dyDescent="0.3">
      <c r="A684" s="73"/>
      <c r="B684" s="74"/>
      <c r="C684" s="75"/>
      <c r="D684" s="76"/>
      <c r="E684" s="77"/>
      <c r="F684" s="78"/>
      <c r="G684" s="78"/>
      <c r="H684" s="79"/>
      <c r="I684" s="80"/>
      <c r="J684" s="77"/>
      <c r="K684" s="81" t="b">
        <v>0</v>
      </c>
      <c r="L684" s="78"/>
      <c r="M684" s="82"/>
      <c r="N684" s="78"/>
      <c r="O684" s="78"/>
      <c r="P684" s="78"/>
      <c r="Q684" s="78"/>
      <c r="R684" s="78"/>
      <c r="S684" s="78"/>
      <c r="T684" s="83"/>
    </row>
    <row r="685" spans="1:20" ht="15" customHeight="1" x14ac:dyDescent="0.3">
      <c r="A685" s="73"/>
      <c r="B685" s="74"/>
      <c r="C685" s="75"/>
      <c r="D685" s="76"/>
      <c r="E685" s="77"/>
      <c r="F685" s="78"/>
      <c r="G685" s="78"/>
      <c r="H685" s="79"/>
      <c r="I685" s="80"/>
      <c r="J685" s="77"/>
      <c r="K685" s="81" t="b">
        <v>0</v>
      </c>
      <c r="L685" s="78"/>
      <c r="M685" s="82"/>
      <c r="N685" s="78"/>
      <c r="O685" s="78"/>
      <c r="P685" s="78"/>
      <c r="Q685" s="78"/>
      <c r="R685" s="78"/>
      <c r="S685" s="78"/>
      <c r="T685" s="83"/>
    </row>
    <row r="686" spans="1:20" ht="15" customHeight="1" x14ac:dyDescent="0.3">
      <c r="A686" s="73"/>
      <c r="B686" s="74"/>
      <c r="C686" s="75"/>
      <c r="D686" s="76"/>
      <c r="E686" s="77"/>
      <c r="F686" s="78"/>
      <c r="G686" s="78"/>
      <c r="H686" s="79"/>
      <c r="I686" s="80"/>
      <c r="J686" s="77"/>
      <c r="K686" s="81" t="b">
        <v>0</v>
      </c>
      <c r="L686" s="78"/>
      <c r="M686" s="82"/>
      <c r="N686" s="78"/>
      <c r="O686" s="78"/>
      <c r="P686" s="78"/>
      <c r="Q686" s="78"/>
      <c r="R686" s="78"/>
      <c r="S686" s="78"/>
      <c r="T686" s="83"/>
    </row>
    <row r="687" spans="1:20" ht="15" customHeight="1" x14ac:dyDescent="0.3">
      <c r="A687" s="73"/>
      <c r="B687" s="74"/>
      <c r="C687" s="75"/>
      <c r="D687" s="76"/>
      <c r="E687" s="77"/>
      <c r="F687" s="78"/>
      <c r="G687" s="78"/>
      <c r="H687" s="79"/>
      <c r="I687" s="80"/>
      <c r="J687" s="77"/>
      <c r="K687" s="81" t="b">
        <v>0</v>
      </c>
      <c r="L687" s="78"/>
      <c r="M687" s="82"/>
      <c r="N687" s="78"/>
      <c r="O687" s="78"/>
      <c r="P687" s="78"/>
      <c r="Q687" s="78"/>
      <c r="R687" s="78"/>
      <c r="S687" s="78"/>
      <c r="T687" s="83"/>
    </row>
    <row r="688" spans="1:20" ht="15" customHeight="1" x14ac:dyDescent="0.3">
      <c r="A688" s="73"/>
      <c r="B688" s="74"/>
      <c r="C688" s="75"/>
      <c r="D688" s="76"/>
      <c r="E688" s="77"/>
      <c r="F688" s="78"/>
      <c r="G688" s="78"/>
      <c r="H688" s="79"/>
      <c r="I688" s="80"/>
      <c r="J688" s="77"/>
      <c r="K688" s="81" t="b">
        <v>0</v>
      </c>
      <c r="L688" s="78"/>
      <c r="M688" s="82"/>
      <c r="N688" s="78"/>
      <c r="O688" s="78"/>
      <c r="P688" s="78"/>
      <c r="Q688" s="78"/>
      <c r="R688" s="78"/>
      <c r="S688" s="78"/>
      <c r="T688" s="83"/>
    </row>
    <row r="689" spans="1:20" ht="15" customHeight="1" x14ac:dyDescent="0.3">
      <c r="A689" s="73"/>
      <c r="B689" s="74"/>
      <c r="C689" s="75"/>
      <c r="D689" s="76"/>
      <c r="E689" s="77"/>
      <c r="F689" s="78"/>
      <c r="G689" s="78"/>
      <c r="H689" s="79"/>
      <c r="I689" s="80"/>
      <c r="J689" s="77"/>
      <c r="K689" s="81" t="b">
        <v>0</v>
      </c>
      <c r="L689" s="78"/>
      <c r="M689" s="82"/>
      <c r="N689" s="78"/>
      <c r="O689" s="78"/>
      <c r="P689" s="78"/>
      <c r="Q689" s="78"/>
      <c r="R689" s="78"/>
      <c r="S689" s="78"/>
      <c r="T689" s="83"/>
    </row>
    <row r="690" spans="1:20" ht="15" customHeight="1" x14ac:dyDescent="0.3">
      <c r="A690" s="73"/>
      <c r="B690" s="74"/>
      <c r="C690" s="75"/>
      <c r="D690" s="76"/>
      <c r="E690" s="77"/>
      <c r="F690" s="78"/>
      <c r="G690" s="78"/>
      <c r="H690" s="79"/>
      <c r="I690" s="80"/>
      <c r="J690" s="77"/>
      <c r="K690" s="81" t="b">
        <v>0</v>
      </c>
      <c r="L690" s="78"/>
      <c r="M690" s="82"/>
      <c r="N690" s="78"/>
      <c r="O690" s="78"/>
      <c r="P690" s="78"/>
      <c r="Q690" s="78"/>
      <c r="R690" s="78"/>
      <c r="S690" s="78"/>
      <c r="T690" s="83"/>
    </row>
    <row r="691" spans="1:20" ht="15" customHeight="1" x14ac:dyDescent="0.3">
      <c r="A691" s="73"/>
      <c r="B691" s="74"/>
      <c r="C691" s="75"/>
      <c r="D691" s="76"/>
      <c r="E691" s="77"/>
      <c r="F691" s="78"/>
      <c r="G691" s="78"/>
      <c r="H691" s="79"/>
      <c r="I691" s="80"/>
      <c r="J691" s="77"/>
      <c r="K691" s="81" t="b">
        <v>0</v>
      </c>
      <c r="L691" s="78"/>
      <c r="M691" s="82"/>
      <c r="N691" s="78"/>
      <c r="O691" s="78"/>
      <c r="P691" s="78"/>
      <c r="Q691" s="78"/>
      <c r="R691" s="78"/>
      <c r="S691" s="78"/>
      <c r="T691" s="83"/>
    </row>
    <row r="692" spans="1:20" ht="15" customHeight="1" x14ac:dyDescent="0.3">
      <c r="A692" s="73"/>
      <c r="B692" s="74"/>
      <c r="C692" s="75"/>
      <c r="D692" s="76"/>
      <c r="E692" s="77"/>
      <c r="F692" s="78"/>
      <c r="G692" s="78"/>
      <c r="H692" s="79"/>
      <c r="I692" s="80"/>
      <c r="J692" s="77"/>
      <c r="K692" s="81" t="b">
        <v>0</v>
      </c>
      <c r="L692" s="78"/>
      <c r="M692" s="82"/>
      <c r="N692" s="78"/>
      <c r="O692" s="78"/>
      <c r="P692" s="78"/>
      <c r="Q692" s="78"/>
      <c r="R692" s="78"/>
      <c r="S692" s="78"/>
      <c r="T692" s="83"/>
    </row>
    <row r="693" spans="1:20" ht="15" customHeight="1" x14ac:dyDescent="0.3">
      <c r="A693" s="73"/>
      <c r="B693" s="74"/>
      <c r="C693" s="75"/>
      <c r="D693" s="76"/>
      <c r="E693" s="77"/>
      <c r="F693" s="78"/>
      <c r="G693" s="78"/>
      <c r="H693" s="79"/>
      <c r="I693" s="80"/>
      <c r="J693" s="77"/>
      <c r="K693" s="81" t="b">
        <v>0</v>
      </c>
      <c r="L693" s="78"/>
      <c r="M693" s="82"/>
      <c r="N693" s="78"/>
      <c r="O693" s="78"/>
      <c r="P693" s="78"/>
      <c r="Q693" s="78"/>
      <c r="R693" s="78"/>
      <c r="S693" s="78"/>
      <c r="T693" s="83"/>
    </row>
    <row r="694" spans="1:20" ht="15" customHeight="1" x14ac:dyDescent="0.3">
      <c r="A694" s="73"/>
      <c r="B694" s="74"/>
      <c r="C694" s="75"/>
      <c r="D694" s="76"/>
      <c r="E694" s="77"/>
      <c r="F694" s="78"/>
      <c r="G694" s="78"/>
      <c r="H694" s="79"/>
      <c r="I694" s="80"/>
      <c r="J694" s="77"/>
      <c r="K694" s="81" t="b">
        <v>0</v>
      </c>
      <c r="L694" s="78"/>
      <c r="M694" s="82"/>
      <c r="N694" s="78"/>
      <c r="O694" s="78"/>
      <c r="P694" s="78"/>
      <c r="Q694" s="78"/>
      <c r="R694" s="78"/>
      <c r="S694" s="78"/>
      <c r="T694" s="83"/>
    </row>
    <row r="695" spans="1:20" ht="15" customHeight="1" x14ac:dyDescent="0.3">
      <c r="A695" s="73"/>
      <c r="B695" s="74"/>
      <c r="C695" s="75"/>
      <c r="D695" s="76"/>
      <c r="E695" s="77"/>
      <c r="F695" s="78"/>
      <c r="G695" s="78"/>
      <c r="H695" s="79"/>
      <c r="I695" s="80"/>
      <c r="J695" s="77"/>
      <c r="K695" s="81" t="b">
        <v>0</v>
      </c>
      <c r="L695" s="78"/>
      <c r="M695" s="82"/>
      <c r="N695" s="78"/>
      <c r="O695" s="78"/>
      <c r="P695" s="78"/>
      <c r="Q695" s="78"/>
      <c r="R695" s="78"/>
      <c r="S695" s="78"/>
      <c r="T695" s="83"/>
    </row>
    <row r="696" spans="1:20" ht="15" customHeight="1" x14ac:dyDescent="0.3">
      <c r="A696" s="73"/>
      <c r="B696" s="74"/>
      <c r="C696" s="75"/>
      <c r="D696" s="76"/>
      <c r="E696" s="77"/>
      <c r="F696" s="78"/>
      <c r="G696" s="78"/>
      <c r="H696" s="79"/>
      <c r="I696" s="80"/>
      <c r="J696" s="77"/>
      <c r="K696" s="81" t="b">
        <v>0</v>
      </c>
      <c r="L696" s="78"/>
      <c r="M696" s="82"/>
      <c r="N696" s="78"/>
      <c r="O696" s="78"/>
      <c r="P696" s="78"/>
      <c r="Q696" s="78"/>
      <c r="R696" s="78"/>
      <c r="S696" s="78"/>
      <c r="T696" s="83"/>
    </row>
    <row r="697" spans="1:20" ht="15" customHeight="1" x14ac:dyDescent="0.3">
      <c r="A697" s="73"/>
      <c r="B697" s="74"/>
      <c r="C697" s="75"/>
      <c r="D697" s="76"/>
      <c r="E697" s="77"/>
      <c r="F697" s="78"/>
      <c r="G697" s="78"/>
      <c r="H697" s="79"/>
      <c r="I697" s="80"/>
      <c r="J697" s="77"/>
      <c r="K697" s="81" t="b">
        <v>0</v>
      </c>
      <c r="L697" s="78"/>
      <c r="M697" s="82"/>
      <c r="N697" s="78"/>
      <c r="O697" s="78"/>
      <c r="P697" s="78"/>
      <c r="Q697" s="78"/>
      <c r="R697" s="78"/>
      <c r="S697" s="78"/>
      <c r="T697" s="83"/>
    </row>
    <row r="698" spans="1:20" ht="15" customHeight="1" x14ac:dyDescent="0.3">
      <c r="A698" s="73"/>
      <c r="B698" s="74"/>
      <c r="C698" s="75"/>
      <c r="D698" s="76"/>
      <c r="E698" s="77"/>
      <c r="F698" s="78"/>
      <c r="G698" s="78"/>
      <c r="H698" s="79"/>
      <c r="I698" s="80"/>
      <c r="J698" s="77"/>
      <c r="K698" s="81" t="b">
        <v>0</v>
      </c>
      <c r="L698" s="78"/>
      <c r="M698" s="82"/>
      <c r="N698" s="78"/>
      <c r="O698" s="78"/>
      <c r="P698" s="78"/>
      <c r="Q698" s="78"/>
      <c r="R698" s="78"/>
      <c r="S698" s="78"/>
      <c r="T698" s="83"/>
    </row>
    <row r="699" spans="1:20" ht="15" customHeight="1" x14ac:dyDescent="0.3">
      <c r="A699" s="73"/>
      <c r="B699" s="74"/>
      <c r="C699" s="75"/>
      <c r="D699" s="76"/>
      <c r="E699" s="77"/>
      <c r="F699" s="78"/>
      <c r="G699" s="78"/>
      <c r="H699" s="79"/>
      <c r="I699" s="80"/>
      <c r="J699" s="77"/>
      <c r="K699" s="81" t="b">
        <v>0</v>
      </c>
      <c r="L699" s="78"/>
      <c r="M699" s="82"/>
      <c r="N699" s="78"/>
      <c r="O699" s="78"/>
      <c r="P699" s="78"/>
      <c r="Q699" s="78"/>
      <c r="R699" s="78"/>
      <c r="S699" s="78"/>
      <c r="T699" s="83"/>
    </row>
    <row r="700" spans="1:20" ht="15" customHeight="1" x14ac:dyDescent="0.3">
      <c r="A700" s="73"/>
      <c r="B700" s="74"/>
      <c r="C700" s="75"/>
      <c r="D700" s="76"/>
      <c r="E700" s="77"/>
      <c r="F700" s="78"/>
      <c r="G700" s="78"/>
      <c r="H700" s="79"/>
      <c r="I700" s="80"/>
      <c r="J700" s="77"/>
      <c r="K700" s="81" t="b">
        <v>0</v>
      </c>
      <c r="L700" s="78"/>
      <c r="M700" s="82"/>
      <c r="N700" s="78"/>
      <c r="O700" s="78"/>
      <c r="P700" s="78"/>
      <c r="Q700" s="78"/>
      <c r="R700" s="78"/>
      <c r="S700" s="78"/>
      <c r="T700" s="83"/>
    </row>
    <row r="701" spans="1:20" ht="15" customHeight="1" x14ac:dyDescent="0.3">
      <c r="A701" s="73"/>
      <c r="B701" s="74"/>
      <c r="C701" s="75"/>
      <c r="D701" s="76"/>
      <c r="E701" s="77"/>
      <c r="F701" s="78"/>
      <c r="G701" s="78"/>
      <c r="H701" s="79"/>
      <c r="I701" s="80"/>
      <c r="J701" s="77"/>
      <c r="K701" s="81" t="b">
        <v>0</v>
      </c>
      <c r="L701" s="78"/>
      <c r="M701" s="82"/>
      <c r="N701" s="78"/>
      <c r="O701" s="78"/>
      <c r="P701" s="78"/>
      <c r="Q701" s="78"/>
      <c r="R701" s="78"/>
      <c r="S701" s="78"/>
      <c r="T701" s="83"/>
    </row>
    <row r="702" spans="1:20" ht="15" customHeight="1" x14ac:dyDescent="0.3">
      <c r="A702" s="73"/>
      <c r="B702" s="74"/>
      <c r="C702" s="75"/>
      <c r="D702" s="76"/>
      <c r="E702" s="77"/>
      <c r="F702" s="78"/>
      <c r="G702" s="78"/>
      <c r="H702" s="79"/>
      <c r="I702" s="80"/>
      <c r="J702" s="77"/>
      <c r="K702" s="81" t="b">
        <v>0</v>
      </c>
      <c r="L702" s="78"/>
      <c r="M702" s="82"/>
      <c r="N702" s="78"/>
      <c r="O702" s="78"/>
      <c r="P702" s="78"/>
      <c r="Q702" s="78"/>
      <c r="R702" s="78"/>
      <c r="S702" s="78"/>
      <c r="T702" s="83"/>
    </row>
    <row r="703" spans="1:20" ht="15" customHeight="1" x14ac:dyDescent="0.3">
      <c r="A703" s="73"/>
      <c r="B703" s="74"/>
      <c r="C703" s="75"/>
      <c r="D703" s="76"/>
      <c r="E703" s="77"/>
      <c r="F703" s="78"/>
      <c r="G703" s="78"/>
      <c r="H703" s="79"/>
      <c r="I703" s="80"/>
      <c r="J703" s="77"/>
      <c r="K703" s="81" t="b">
        <v>0</v>
      </c>
      <c r="L703" s="78"/>
      <c r="M703" s="82"/>
      <c r="N703" s="78"/>
      <c r="O703" s="78"/>
      <c r="P703" s="78"/>
      <c r="Q703" s="78"/>
      <c r="R703" s="78"/>
      <c r="S703" s="78"/>
      <c r="T703" s="83"/>
    </row>
    <row r="704" spans="1:20" ht="15" customHeight="1" x14ac:dyDescent="0.3">
      <c r="A704" s="73"/>
      <c r="B704" s="74"/>
      <c r="C704" s="75"/>
      <c r="D704" s="76"/>
      <c r="E704" s="77"/>
      <c r="F704" s="78"/>
      <c r="G704" s="78"/>
      <c r="H704" s="79"/>
      <c r="I704" s="80"/>
      <c r="J704" s="77"/>
      <c r="K704" s="81" t="b">
        <v>0</v>
      </c>
      <c r="L704" s="78"/>
      <c r="M704" s="82"/>
      <c r="N704" s="78"/>
      <c r="O704" s="78"/>
      <c r="P704" s="78"/>
      <c r="Q704" s="78"/>
      <c r="R704" s="78"/>
      <c r="S704" s="78"/>
      <c r="T704" s="83"/>
    </row>
    <row r="705" spans="1:20" ht="15" customHeight="1" x14ac:dyDescent="0.3">
      <c r="A705" s="73"/>
      <c r="B705" s="74"/>
      <c r="C705" s="75"/>
      <c r="D705" s="76"/>
      <c r="E705" s="77"/>
      <c r="F705" s="78"/>
      <c r="G705" s="78"/>
      <c r="H705" s="79"/>
      <c r="I705" s="80"/>
      <c r="J705" s="77"/>
      <c r="K705" s="81" t="b">
        <v>0</v>
      </c>
      <c r="L705" s="78"/>
      <c r="M705" s="82"/>
      <c r="N705" s="78"/>
      <c r="O705" s="78"/>
      <c r="P705" s="78"/>
      <c r="Q705" s="78"/>
      <c r="R705" s="78"/>
      <c r="S705" s="78"/>
      <c r="T705" s="83"/>
    </row>
    <row r="706" spans="1:20" ht="15" customHeight="1" x14ac:dyDescent="0.3">
      <c r="A706" s="73"/>
      <c r="B706" s="74"/>
      <c r="C706" s="75"/>
      <c r="D706" s="76"/>
      <c r="E706" s="77"/>
      <c r="F706" s="78"/>
      <c r="G706" s="78"/>
      <c r="H706" s="79"/>
      <c r="I706" s="80"/>
      <c r="J706" s="77"/>
      <c r="K706" s="81" t="b">
        <v>0</v>
      </c>
      <c r="L706" s="78"/>
      <c r="M706" s="82"/>
      <c r="N706" s="78"/>
      <c r="O706" s="78"/>
      <c r="P706" s="78"/>
      <c r="Q706" s="78"/>
      <c r="R706" s="78"/>
      <c r="S706" s="78"/>
      <c r="T706" s="83"/>
    </row>
    <row r="707" spans="1:20" ht="15" customHeight="1" x14ac:dyDescent="0.3">
      <c r="A707" s="73"/>
      <c r="B707" s="74"/>
      <c r="C707" s="75"/>
      <c r="D707" s="76"/>
      <c r="E707" s="77"/>
      <c r="F707" s="78"/>
      <c r="G707" s="78"/>
      <c r="H707" s="79"/>
      <c r="I707" s="80"/>
      <c r="J707" s="77"/>
      <c r="K707" s="81" t="b">
        <v>0</v>
      </c>
      <c r="L707" s="78"/>
      <c r="M707" s="82"/>
      <c r="N707" s="78"/>
      <c r="O707" s="78"/>
      <c r="P707" s="78"/>
      <c r="Q707" s="78"/>
      <c r="R707" s="78"/>
      <c r="S707" s="78"/>
      <c r="T707" s="83"/>
    </row>
    <row r="708" spans="1:20" ht="15" customHeight="1" x14ac:dyDescent="0.3">
      <c r="A708" s="73"/>
      <c r="B708" s="74"/>
      <c r="C708" s="75"/>
      <c r="D708" s="76"/>
      <c r="E708" s="77"/>
      <c r="F708" s="78"/>
      <c r="G708" s="78"/>
      <c r="H708" s="79"/>
      <c r="I708" s="80"/>
      <c r="J708" s="77"/>
      <c r="K708" s="81" t="b">
        <v>0</v>
      </c>
      <c r="L708" s="78"/>
      <c r="M708" s="82"/>
      <c r="N708" s="78"/>
      <c r="O708" s="78"/>
      <c r="P708" s="78"/>
      <c r="Q708" s="78"/>
      <c r="R708" s="78"/>
      <c r="S708" s="78"/>
      <c r="T708" s="83"/>
    </row>
    <row r="709" spans="1:20" ht="15" customHeight="1" x14ac:dyDescent="0.3">
      <c r="A709" s="73"/>
      <c r="B709" s="74"/>
      <c r="C709" s="75"/>
      <c r="D709" s="76"/>
      <c r="E709" s="77"/>
      <c r="F709" s="78"/>
      <c r="G709" s="78"/>
      <c r="H709" s="79"/>
      <c r="I709" s="80"/>
      <c r="J709" s="77"/>
      <c r="K709" s="81" t="b">
        <v>0</v>
      </c>
      <c r="L709" s="78"/>
      <c r="M709" s="82"/>
      <c r="N709" s="78"/>
      <c r="O709" s="78"/>
      <c r="P709" s="78"/>
      <c r="Q709" s="78"/>
      <c r="R709" s="78"/>
      <c r="S709" s="78"/>
      <c r="T709" s="83"/>
    </row>
    <row r="710" spans="1:20" ht="15" customHeight="1" x14ac:dyDescent="0.3">
      <c r="A710" s="73"/>
      <c r="B710" s="74"/>
      <c r="C710" s="75"/>
      <c r="D710" s="76"/>
      <c r="E710" s="77"/>
      <c r="F710" s="78"/>
      <c r="G710" s="78"/>
      <c r="H710" s="79"/>
      <c r="I710" s="80"/>
      <c r="J710" s="77"/>
      <c r="K710" s="81" t="b">
        <v>0</v>
      </c>
      <c r="L710" s="78"/>
      <c r="M710" s="82"/>
      <c r="N710" s="78"/>
      <c r="O710" s="78"/>
      <c r="P710" s="78"/>
      <c r="Q710" s="78"/>
      <c r="R710" s="78"/>
      <c r="S710" s="78"/>
      <c r="T710" s="83"/>
    </row>
    <row r="711" spans="1:20" ht="15" customHeight="1" x14ac:dyDescent="0.3">
      <c r="A711" s="73"/>
      <c r="B711" s="74"/>
      <c r="C711" s="75"/>
      <c r="D711" s="76"/>
      <c r="E711" s="77"/>
      <c r="F711" s="78"/>
      <c r="G711" s="78"/>
      <c r="H711" s="79"/>
      <c r="I711" s="80"/>
      <c r="J711" s="77"/>
      <c r="K711" s="81" t="b">
        <v>0</v>
      </c>
      <c r="L711" s="78"/>
      <c r="M711" s="82"/>
      <c r="N711" s="78"/>
      <c r="O711" s="78"/>
      <c r="P711" s="78"/>
      <c r="Q711" s="78"/>
      <c r="R711" s="78"/>
      <c r="S711" s="78"/>
      <c r="T711" s="83"/>
    </row>
    <row r="712" spans="1:20" ht="15" customHeight="1" x14ac:dyDescent="0.3">
      <c r="A712" s="73"/>
      <c r="B712" s="74"/>
      <c r="C712" s="75"/>
      <c r="D712" s="76"/>
      <c r="E712" s="77"/>
      <c r="F712" s="78"/>
      <c r="G712" s="78"/>
      <c r="H712" s="79"/>
      <c r="I712" s="80"/>
      <c r="J712" s="77"/>
      <c r="K712" s="81" t="b">
        <v>0</v>
      </c>
      <c r="L712" s="78"/>
      <c r="M712" s="82"/>
      <c r="N712" s="78"/>
      <c r="O712" s="78"/>
      <c r="P712" s="78"/>
      <c r="Q712" s="78"/>
      <c r="R712" s="78"/>
      <c r="S712" s="78"/>
      <c r="T712" s="83"/>
    </row>
    <row r="713" spans="1:20" ht="15" customHeight="1" x14ac:dyDescent="0.3">
      <c r="A713" s="73"/>
      <c r="B713" s="74"/>
      <c r="C713" s="75"/>
      <c r="D713" s="76"/>
      <c r="E713" s="77"/>
      <c r="F713" s="78"/>
      <c r="G713" s="78"/>
      <c r="H713" s="79"/>
      <c r="I713" s="80"/>
      <c r="J713" s="77"/>
      <c r="K713" s="81" t="b">
        <v>0</v>
      </c>
      <c r="L713" s="78"/>
      <c r="M713" s="82"/>
      <c r="N713" s="78"/>
      <c r="O713" s="78"/>
      <c r="P713" s="78"/>
      <c r="Q713" s="78"/>
      <c r="R713" s="78"/>
      <c r="S713" s="78"/>
      <c r="T713" s="83"/>
    </row>
    <row r="714" spans="1:20" ht="15" customHeight="1" x14ac:dyDescent="0.3">
      <c r="A714" s="73"/>
      <c r="B714" s="74"/>
      <c r="C714" s="75"/>
      <c r="D714" s="76"/>
      <c r="E714" s="77"/>
      <c r="F714" s="78"/>
      <c r="G714" s="78"/>
      <c r="H714" s="79"/>
      <c r="I714" s="80"/>
      <c r="J714" s="77"/>
      <c r="K714" s="81" t="b">
        <v>0</v>
      </c>
      <c r="L714" s="78"/>
      <c r="M714" s="82"/>
      <c r="N714" s="78"/>
      <c r="O714" s="78"/>
      <c r="P714" s="78"/>
      <c r="Q714" s="78"/>
      <c r="R714" s="78"/>
      <c r="S714" s="78"/>
      <c r="T714" s="83"/>
    </row>
    <row r="715" spans="1:20" ht="15" customHeight="1" x14ac:dyDescent="0.3">
      <c r="A715" s="73"/>
      <c r="B715" s="74"/>
      <c r="C715" s="75"/>
      <c r="D715" s="76"/>
      <c r="E715" s="77"/>
      <c r="F715" s="78"/>
      <c r="G715" s="78"/>
      <c r="H715" s="79"/>
      <c r="I715" s="80"/>
      <c r="J715" s="77"/>
      <c r="K715" s="81" t="b">
        <v>0</v>
      </c>
      <c r="L715" s="78"/>
      <c r="M715" s="82"/>
      <c r="N715" s="78"/>
      <c r="O715" s="78"/>
      <c r="P715" s="78"/>
      <c r="Q715" s="78"/>
      <c r="R715" s="78"/>
      <c r="S715" s="78"/>
      <c r="T715" s="83"/>
    </row>
    <row r="716" spans="1:20" ht="15" customHeight="1" x14ac:dyDescent="0.3">
      <c r="A716" s="73"/>
      <c r="B716" s="74"/>
      <c r="C716" s="75"/>
      <c r="D716" s="76"/>
      <c r="E716" s="77"/>
      <c r="F716" s="78"/>
      <c r="G716" s="78"/>
      <c r="H716" s="79"/>
      <c r="I716" s="80"/>
      <c r="J716" s="77"/>
      <c r="K716" s="81" t="b">
        <v>0</v>
      </c>
      <c r="L716" s="78"/>
      <c r="M716" s="82"/>
      <c r="N716" s="78"/>
      <c r="O716" s="78"/>
      <c r="P716" s="78"/>
      <c r="Q716" s="78"/>
      <c r="R716" s="78"/>
      <c r="S716" s="78"/>
      <c r="T716" s="83"/>
    </row>
    <row r="717" spans="1:20" ht="15" customHeight="1" x14ac:dyDescent="0.3">
      <c r="A717" s="73"/>
      <c r="B717" s="74"/>
      <c r="C717" s="75"/>
      <c r="D717" s="76"/>
      <c r="E717" s="77"/>
      <c r="F717" s="78"/>
      <c r="G717" s="78"/>
      <c r="H717" s="79"/>
      <c r="I717" s="80"/>
      <c r="J717" s="77"/>
      <c r="K717" s="81" t="b">
        <v>0</v>
      </c>
      <c r="L717" s="78"/>
      <c r="M717" s="82"/>
      <c r="N717" s="78"/>
      <c r="O717" s="78"/>
      <c r="P717" s="78"/>
      <c r="Q717" s="78"/>
      <c r="R717" s="78"/>
      <c r="S717" s="78"/>
      <c r="T717" s="83"/>
    </row>
    <row r="718" spans="1:20" ht="15" customHeight="1" x14ac:dyDescent="0.3">
      <c r="A718" s="73"/>
      <c r="B718" s="74"/>
      <c r="C718" s="75"/>
      <c r="D718" s="76"/>
      <c r="E718" s="77"/>
      <c r="F718" s="78"/>
      <c r="G718" s="78"/>
      <c r="H718" s="79"/>
      <c r="I718" s="80"/>
      <c r="J718" s="77"/>
      <c r="K718" s="81" t="b">
        <v>0</v>
      </c>
      <c r="L718" s="78"/>
      <c r="M718" s="82"/>
      <c r="N718" s="78"/>
      <c r="O718" s="78"/>
      <c r="P718" s="78"/>
      <c r="Q718" s="78"/>
      <c r="R718" s="78"/>
      <c r="S718" s="78"/>
      <c r="T718" s="83"/>
    </row>
    <row r="719" spans="1:20" ht="15" customHeight="1" x14ac:dyDescent="0.3">
      <c r="A719" s="73"/>
      <c r="B719" s="74"/>
      <c r="C719" s="75"/>
      <c r="D719" s="76"/>
      <c r="E719" s="77"/>
      <c r="F719" s="78"/>
      <c r="G719" s="78"/>
      <c r="H719" s="79"/>
      <c r="I719" s="80"/>
      <c r="J719" s="77"/>
      <c r="K719" s="81" t="b">
        <v>0</v>
      </c>
      <c r="L719" s="78"/>
      <c r="M719" s="82"/>
      <c r="N719" s="78"/>
      <c r="O719" s="78"/>
      <c r="P719" s="78"/>
      <c r="Q719" s="78"/>
      <c r="R719" s="78"/>
      <c r="S719" s="78"/>
      <c r="T719" s="83"/>
    </row>
    <row r="720" spans="1:20" ht="15" customHeight="1" x14ac:dyDescent="0.3">
      <c r="A720" s="73"/>
      <c r="B720" s="74"/>
      <c r="C720" s="75"/>
      <c r="D720" s="76"/>
      <c r="E720" s="77"/>
      <c r="F720" s="78"/>
      <c r="G720" s="78"/>
      <c r="H720" s="79"/>
      <c r="I720" s="80"/>
      <c r="J720" s="77"/>
      <c r="K720" s="81" t="b">
        <v>0</v>
      </c>
      <c r="L720" s="78"/>
      <c r="M720" s="82"/>
      <c r="N720" s="78"/>
      <c r="O720" s="78"/>
      <c r="P720" s="78"/>
      <c r="Q720" s="78"/>
      <c r="R720" s="78"/>
      <c r="S720" s="78"/>
      <c r="T720" s="83"/>
    </row>
    <row r="721" spans="1:20" ht="15" customHeight="1" x14ac:dyDescent="0.3">
      <c r="A721" s="73"/>
      <c r="B721" s="74"/>
      <c r="C721" s="75"/>
      <c r="D721" s="76"/>
      <c r="E721" s="77"/>
      <c r="F721" s="78"/>
      <c r="G721" s="78"/>
      <c r="H721" s="79"/>
      <c r="I721" s="80"/>
      <c r="J721" s="77"/>
      <c r="K721" s="81" t="b">
        <v>0</v>
      </c>
      <c r="L721" s="78"/>
      <c r="M721" s="82"/>
      <c r="N721" s="78"/>
      <c r="O721" s="78"/>
      <c r="P721" s="78"/>
      <c r="Q721" s="78"/>
      <c r="R721" s="78"/>
      <c r="S721" s="78"/>
      <c r="T721" s="83"/>
    </row>
    <row r="722" spans="1:20" ht="15" customHeight="1" x14ac:dyDescent="0.3">
      <c r="A722" s="73"/>
      <c r="B722" s="74"/>
      <c r="C722" s="75"/>
      <c r="D722" s="76"/>
      <c r="E722" s="77"/>
      <c r="F722" s="78"/>
      <c r="G722" s="78"/>
      <c r="H722" s="79"/>
      <c r="I722" s="80"/>
      <c r="J722" s="77"/>
      <c r="K722" s="81" t="b">
        <v>0</v>
      </c>
      <c r="L722" s="78"/>
      <c r="M722" s="82"/>
      <c r="N722" s="78"/>
      <c r="O722" s="78"/>
      <c r="P722" s="78"/>
      <c r="Q722" s="78"/>
      <c r="R722" s="78"/>
      <c r="S722" s="78"/>
      <c r="T722" s="83"/>
    </row>
    <row r="723" spans="1:20" ht="15" customHeight="1" x14ac:dyDescent="0.3">
      <c r="A723" s="73"/>
      <c r="B723" s="74"/>
      <c r="C723" s="75"/>
      <c r="D723" s="76"/>
      <c r="E723" s="77"/>
      <c r="F723" s="78"/>
      <c r="G723" s="78"/>
      <c r="H723" s="79"/>
      <c r="I723" s="80"/>
      <c r="J723" s="77"/>
      <c r="K723" s="81" t="b">
        <v>0</v>
      </c>
      <c r="L723" s="78"/>
      <c r="M723" s="82"/>
      <c r="N723" s="78"/>
      <c r="O723" s="78"/>
      <c r="P723" s="78"/>
      <c r="Q723" s="78"/>
      <c r="R723" s="78"/>
      <c r="S723" s="78"/>
      <c r="T723" s="83"/>
    </row>
    <row r="724" spans="1:20" ht="15" customHeight="1" x14ac:dyDescent="0.3">
      <c r="A724" s="73"/>
      <c r="B724" s="74"/>
      <c r="C724" s="75"/>
      <c r="D724" s="76"/>
      <c r="E724" s="77"/>
      <c r="F724" s="78"/>
      <c r="G724" s="78"/>
      <c r="H724" s="79"/>
      <c r="I724" s="80"/>
      <c r="J724" s="77"/>
      <c r="K724" s="81" t="b">
        <v>0</v>
      </c>
      <c r="L724" s="78"/>
      <c r="M724" s="82"/>
      <c r="N724" s="78"/>
      <c r="O724" s="78"/>
      <c r="P724" s="78"/>
      <c r="Q724" s="78"/>
      <c r="R724" s="78"/>
      <c r="S724" s="78"/>
      <c r="T724" s="83"/>
    </row>
    <row r="725" spans="1:20" ht="15" customHeight="1" x14ac:dyDescent="0.3">
      <c r="A725" s="73"/>
      <c r="B725" s="74"/>
      <c r="C725" s="75"/>
      <c r="D725" s="76"/>
      <c r="E725" s="77"/>
      <c r="F725" s="78"/>
      <c r="G725" s="78"/>
      <c r="H725" s="79"/>
      <c r="I725" s="80"/>
      <c r="J725" s="77"/>
      <c r="K725" s="81" t="b">
        <v>0</v>
      </c>
      <c r="L725" s="78"/>
      <c r="M725" s="82"/>
      <c r="N725" s="78"/>
      <c r="O725" s="78"/>
      <c r="P725" s="78"/>
      <c r="Q725" s="78"/>
      <c r="R725" s="78"/>
      <c r="S725" s="78"/>
      <c r="T725" s="83"/>
    </row>
    <row r="726" spans="1:20" ht="15" customHeight="1" x14ac:dyDescent="0.3">
      <c r="A726" s="73"/>
      <c r="B726" s="74"/>
      <c r="C726" s="75"/>
      <c r="D726" s="76"/>
      <c r="E726" s="77"/>
      <c r="F726" s="78"/>
      <c r="G726" s="78"/>
      <c r="H726" s="79"/>
      <c r="I726" s="80"/>
      <c r="J726" s="77"/>
      <c r="K726" s="81" t="b">
        <v>0</v>
      </c>
      <c r="L726" s="78"/>
      <c r="M726" s="82"/>
      <c r="N726" s="78"/>
      <c r="O726" s="78"/>
      <c r="P726" s="78"/>
      <c r="Q726" s="78"/>
      <c r="R726" s="78"/>
      <c r="S726" s="78"/>
      <c r="T726" s="83"/>
    </row>
    <row r="727" spans="1:20" ht="15" customHeight="1" x14ac:dyDescent="0.3">
      <c r="A727" s="73"/>
      <c r="B727" s="74"/>
      <c r="C727" s="75"/>
      <c r="D727" s="76"/>
      <c r="E727" s="77"/>
      <c r="F727" s="78"/>
      <c r="G727" s="78"/>
      <c r="H727" s="79"/>
      <c r="I727" s="80"/>
      <c r="J727" s="77"/>
      <c r="K727" s="81" t="b">
        <v>0</v>
      </c>
      <c r="L727" s="78"/>
      <c r="M727" s="82"/>
      <c r="N727" s="78"/>
      <c r="O727" s="78"/>
      <c r="P727" s="78"/>
      <c r="Q727" s="78"/>
      <c r="R727" s="78"/>
      <c r="S727" s="78"/>
      <c r="T727" s="83"/>
    </row>
    <row r="728" spans="1:20" ht="15" customHeight="1" x14ac:dyDescent="0.3">
      <c r="A728" s="73"/>
      <c r="B728" s="74"/>
      <c r="C728" s="75"/>
      <c r="D728" s="76"/>
      <c r="E728" s="77"/>
      <c r="F728" s="78"/>
      <c r="G728" s="78"/>
      <c r="H728" s="79"/>
      <c r="I728" s="80"/>
      <c r="J728" s="77"/>
      <c r="K728" s="81" t="b">
        <v>0</v>
      </c>
      <c r="L728" s="78"/>
      <c r="M728" s="82"/>
      <c r="N728" s="78"/>
      <c r="O728" s="78"/>
      <c r="P728" s="78"/>
      <c r="Q728" s="78"/>
      <c r="R728" s="78"/>
      <c r="S728" s="78"/>
      <c r="T728" s="83"/>
    </row>
    <row r="729" spans="1:20" ht="15" customHeight="1" x14ac:dyDescent="0.3">
      <c r="A729" s="73"/>
      <c r="B729" s="74"/>
      <c r="C729" s="75"/>
      <c r="D729" s="76"/>
      <c r="E729" s="77"/>
      <c r="F729" s="78"/>
      <c r="G729" s="78"/>
      <c r="H729" s="79"/>
      <c r="I729" s="80"/>
      <c r="J729" s="77"/>
      <c r="K729" s="81" t="b">
        <v>0</v>
      </c>
      <c r="L729" s="78"/>
      <c r="M729" s="82"/>
      <c r="N729" s="78"/>
      <c r="O729" s="78"/>
      <c r="P729" s="78"/>
      <c r="Q729" s="78"/>
      <c r="R729" s="78"/>
      <c r="S729" s="78"/>
      <c r="T729" s="83"/>
    </row>
    <row r="730" spans="1:20" ht="15" customHeight="1" x14ac:dyDescent="0.3">
      <c r="A730" s="73"/>
      <c r="B730" s="74"/>
      <c r="C730" s="75"/>
      <c r="D730" s="76"/>
      <c r="E730" s="77"/>
      <c r="F730" s="78"/>
      <c r="G730" s="78"/>
      <c r="H730" s="79"/>
      <c r="I730" s="80"/>
      <c r="J730" s="77"/>
      <c r="K730" s="81" t="b">
        <v>0</v>
      </c>
      <c r="L730" s="78"/>
      <c r="M730" s="82"/>
      <c r="N730" s="78"/>
      <c r="O730" s="78"/>
      <c r="P730" s="78"/>
      <c r="Q730" s="78"/>
      <c r="R730" s="78"/>
      <c r="S730" s="78"/>
      <c r="T730" s="83"/>
    </row>
    <row r="731" spans="1:20" ht="15" customHeight="1" x14ac:dyDescent="0.3">
      <c r="A731" s="73"/>
      <c r="B731" s="74"/>
      <c r="C731" s="75"/>
      <c r="D731" s="76"/>
      <c r="E731" s="77"/>
      <c r="F731" s="78"/>
      <c r="G731" s="78"/>
      <c r="H731" s="79"/>
      <c r="I731" s="80"/>
      <c r="J731" s="77"/>
      <c r="K731" s="81" t="b">
        <v>0</v>
      </c>
      <c r="L731" s="78"/>
      <c r="M731" s="82"/>
      <c r="N731" s="78"/>
      <c r="O731" s="78"/>
      <c r="P731" s="78"/>
      <c r="Q731" s="78"/>
      <c r="R731" s="78"/>
      <c r="S731" s="78"/>
      <c r="T731" s="83"/>
    </row>
    <row r="732" spans="1:20" ht="15" customHeight="1" x14ac:dyDescent="0.3">
      <c r="A732" s="73"/>
      <c r="B732" s="74"/>
      <c r="C732" s="75"/>
      <c r="D732" s="76"/>
      <c r="E732" s="77"/>
      <c r="F732" s="78"/>
      <c r="G732" s="78"/>
      <c r="H732" s="79"/>
      <c r="I732" s="80"/>
      <c r="J732" s="77"/>
      <c r="K732" s="81" t="b">
        <v>0</v>
      </c>
      <c r="L732" s="78"/>
      <c r="M732" s="82"/>
      <c r="N732" s="78"/>
      <c r="O732" s="78"/>
      <c r="P732" s="78"/>
      <c r="Q732" s="78"/>
      <c r="R732" s="78"/>
      <c r="S732" s="78"/>
      <c r="T732" s="83"/>
    </row>
    <row r="733" spans="1:20" ht="15" customHeight="1" x14ac:dyDescent="0.3">
      <c r="A733" s="73"/>
      <c r="B733" s="74"/>
      <c r="C733" s="75"/>
      <c r="D733" s="76"/>
      <c r="E733" s="77"/>
      <c r="F733" s="78"/>
      <c r="G733" s="78"/>
      <c r="H733" s="79"/>
      <c r="I733" s="80"/>
      <c r="J733" s="77"/>
      <c r="K733" s="81" t="b">
        <v>0</v>
      </c>
      <c r="L733" s="78"/>
      <c r="M733" s="82"/>
      <c r="N733" s="78"/>
      <c r="O733" s="78"/>
      <c r="P733" s="78"/>
      <c r="Q733" s="78"/>
      <c r="R733" s="78"/>
      <c r="S733" s="78"/>
      <c r="T733" s="83"/>
    </row>
    <row r="734" spans="1:20" ht="15" customHeight="1" x14ac:dyDescent="0.3">
      <c r="A734" s="73"/>
      <c r="B734" s="74"/>
      <c r="C734" s="75"/>
      <c r="D734" s="76"/>
      <c r="E734" s="77"/>
      <c r="F734" s="78"/>
      <c r="G734" s="78"/>
      <c r="H734" s="79"/>
      <c r="I734" s="80"/>
      <c r="J734" s="77"/>
      <c r="K734" s="81" t="b">
        <v>0</v>
      </c>
      <c r="L734" s="78"/>
      <c r="M734" s="82"/>
      <c r="N734" s="78"/>
      <c r="O734" s="78"/>
      <c r="P734" s="78"/>
      <c r="Q734" s="78"/>
      <c r="R734" s="78"/>
      <c r="S734" s="78"/>
      <c r="T734" s="83"/>
    </row>
    <row r="735" spans="1:20" ht="15" customHeight="1" x14ac:dyDescent="0.3">
      <c r="A735" s="73"/>
      <c r="B735" s="74"/>
      <c r="C735" s="75"/>
      <c r="D735" s="76"/>
      <c r="E735" s="77"/>
      <c r="F735" s="78"/>
      <c r="G735" s="78"/>
      <c r="H735" s="79"/>
      <c r="I735" s="80"/>
      <c r="J735" s="77"/>
      <c r="K735" s="81" t="b">
        <v>0</v>
      </c>
      <c r="L735" s="78"/>
      <c r="M735" s="82"/>
      <c r="N735" s="78"/>
      <c r="O735" s="78"/>
      <c r="P735" s="78"/>
      <c r="Q735" s="78"/>
      <c r="R735" s="78"/>
      <c r="S735" s="78"/>
      <c r="T735" s="83"/>
    </row>
    <row r="736" spans="1:20" ht="15" customHeight="1" x14ac:dyDescent="0.3">
      <c r="A736" s="73"/>
      <c r="B736" s="74"/>
      <c r="C736" s="75"/>
      <c r="D736" s="76"/>
      <c r="E736" s="77"/>
      <c r="F736" s="78"/>
      <c r="G736" s="78"/>
      <c r="H736" s="79"/>
      <c r="I736" s="80"/>
      <c r="J736" s="77"/>
      <c r="K736" s="81" t="b">
        <v>0</v>
      </c>
      <c r="L736" s="78"/>
      <c r="M736" s="82"/>
      <c r="N736" s="78"/>
      <c r="O736" s="78"/>
      <c r="P736" s="78"/>
      <c r="Q736" s="78"/>
      <c r="R736" s="78"/>
      <c r="S736" s="78"/>
      <c r="T736" s="83"/>
    </row>
    <row r="737" spans="1:20" ht="15" customHeight="1" x14ac:dyDescent="0.3">
      <c r="A737" s="73"/>
      <c r="B737" s="74"/>
      <c r="C737" s="75"/>
      <c r="D737" s="76"/>
      <c r="E737" s="77"/>
      <c r="F737" s="78"/>
      <c r="G737" s="78"/>
      <c r="H737" s="79"/>
      <c r="I737" s="80"/>
      <c r="J737" s="77"/>
      <c r="K737" s="81" t="b">
        <v>0</v>
      </c>
      <c r="L737" s="78"/>
      <c r="M737" s="82"/>
      <c r="N737" s="78"/>
      <c r="O737" s="78"/>
      <c r="P737" s="78"/>
      <c r="Q737" s="78"/>
      <c r="R737" s="78"/>
      <c r="S737" s="78"/>
      <c r="T737" s="83"/>
    </row>
    <row r="738" spans="1:20" ht="15" customHeight="1" x14ac:dyDescent="0.3">
      <c r="A738" s="73"/>
      <c r="B738" s="74"/>
      <c r="C738" s="75"/>
      <c r="D738" s="76"/>
      <c r="E738" s="77"/>
      <c r="F738" s="78"/>
      <c r="G738" s="78"/>
      <c r="H738" s="79"/>
      <c r="I738" s="80"/>
      <c r="J738" s="77"/>
      <c r="K738" s="81" t="b">
        <v>0</v>
      </c>
      <c r="L738" s="78"/>
      <c r="M738" s="82"/>
      <c r="N738" s="78"/>
      <c r="O738" s="78"/>
      <c r="P738" s="78"/>
      <c r="Q738" s="78"/>
      <c r="R738" s="78"/>
      <c r="S738" s="78"/>
      <c r="T738" s="83"/>
    </row>
    <row r="739" spans="1:20" ht="15" customHeight="1" x14ac:dyDescent="0.3">
      <c r="A739" s="73"/>
      <c r="B739" s="74"/>
      <c r="C739" s="75"/>
      <c r="D739" s="76"/>
      <c r="E739" s="77"/>
      <c r="F739" s="78"/>
      <c r="G739" s="78"/>
      <c r="H739" s="79"/>
      <c r="I739" s="80"/>
      <c r="J739" s="77"/>
      <c r="K739" s="81" t="b">
        <v>0</v>
      </c>
      <c r="L739" s="78"/>
      <c r="M739" s="82"/>
      <c r="N739" s="78"/>
      <c r="O739" s="78"/>
      <c r="P739" s="78"/>
      <c r="Q739" s="78"/>
      <c r="R739" s="78"/>
      <c r="S739" s="78"/>
      <c r="T739" s="83"/>
    </row>
    <row r="740" spans="1:20" ht="15" customHeight="1" x14ac:dyDescent="0.3">
      <c r="A740" s="73"/>
      <c r="B740" s="74"/>
      <c r="C740" s="75"/>
      <c r="D740" s="76"/>
      <c r="E740" s="77"/>
      <c r="F740" s="78"/>
      <c r="G740" s="78"/>
      <c r="H740" s="79"/>
      <c r="I740" s="80"/>
      <c r="J740" s="77"/>
      <c r="K740" s="81" t="b">
        <v>0</v>
      </c>
      <c r="L740" s="78"/>
      <c r="M740" s="82"/>
      <c r="N740" s="78"/>
      <c r="O740" s="78"/>
      <c r="P740" s="78"/>
      <c r="Q740" s="78"/>
      <c r="R740" s="78"/>
      <c r="S740" s="78"/>
      <c r="T740" s="83"/>
    </row>
    <row r="741" spans="1:20" ht="15" customHeight="1" x14ac:dyDescent="0.3">
      <c r="A741" s="73"/>
      <c r="B741" s="74"/>
      <c r="C741" s="75"/>
      <c r="D741" s="76"/>
      <c r="E741" s="77"/>
      <c r="F741" s="78"/>
      <c r="G741" s="78"/>
      <c r="H741" s="79"/>
      <c r="I741" s="80"/>
      <c r="J741" s="77"/>
      <c r="K741" s="81" t="b">
        <v>0</v>
      </c>
      <c r="L741" s="78"/>
      <c r="M741" s="82"/>
      <c r="N741" s="78"/>
      <c r="O741" s="78"/>
      <c r="P741" s="78"/>
      <c r="Q741" s="78"/>
      <c r="R741" s="78"/>
      <c r="S741" s="78"/>
      <c r="T741" s="83"/>
    </row>
    <row r="742" spans="1:20" ht="15" customHeight="1" x14ac:dyDescent="0.3">
      <c r="A742" s="73"/>
      <c r="B742" s="74"/>
      <c r="C742" s="75"/>
      <c r="D742" s="76"/>
      <c r="E742" s="77"/>
      <c r="F742" s="78"/>
      <c r="G742" s="78"/>
      <c r="H742" s="79"/>
      <c r="I742" s="80"/>
      <c r="J742" s="77"/>
      <c r="K742" s="81" t="b">
        <v>0</v>
      </c>
      <c r="L742" s="78"/>
      <c r="M742" s="82"/>
      <c r="N742" s="78"/>
      <c r="O742" s="78"/>
      <c r="P742" s="78"/>
      <c r="Q742" s="78"/>
      <c r="R742" s="78"/>
      <c r="S742" s="78"/>
      <c r="T742" s="83"/>
    </row>
    <row r="743" spans="1:20" ht="15" customHeight="1" x14ac:dyDescent="0.3">
      <c r="A743" s="73"/>
      <c r="B743" s="74"/>
      <c r="C743" s="75"/>
      <c r="D743" s="76"/>
      <c r="E743" s="77"/>
      <c r="F743" s="78"/>
      <c r="G743" s="78"/>
      <c r="H743" s="79"/>
      <c r="I743" s="80"/>
      <c r="J743" s="77"/>
      <c r="K743" s="81" t="b">
        <v>0</v>
      </c>
      <c r="L743" s="78"/>
      <c r="M743" s="82"/>
      <c r="N743" s="78"/>
      <c r="O743" s="78"/>
      <c r="P743" s="78"/>
      <c r="Q743" s="78"/>
      <c r="R743" s="78"/>
      <c r="S743" s="78"/>
      <c r="T743" s="83"/>
    </row>
    <row r="744" spans="1:20" ht="15" customHeight="1" x14ac:dyDescent="0.3">
      <c r="A744" s="73"/>
      <c r="B744" s="74"/>
      <c r="C744" s="75"/>
      <c r="D744" s="76"/>
      <c r="E744" s="77"/>
      <c r="F744" s="78"/>
      <c r="G744" s="78"/>
      <c r="H744" s="79"/>
      <c r="I744" s="80"/>
      <c r="J744" s="77"/>
      <c r="K744" s="81" t="b">
        <v>0</v>
      </c>
      <c r="L744" s="78"/>
      <c r="M744" s="82"/>
      <c r="N744" s="78"/>
      <c r="O744" s="78"/>
      <c r="P744" s="78"/>
      <c r="Q744" s="78"/>
      <c r="R744" s="78"/>
      <c r="S744" s="78"/>
      <c r="T744" s="83"/>
    </row>
    <row r="745" spans="1:20" ht="15" customHeight="1" x14ac:dyDescent="0.3">
      <c r="A745" s="73"/>
      <c r="B745" s="74"/>
      <c r="C745" s="75"/>
      <c r="D745" s="76"/>
      <c r="E745" s="77"/>
      <c r="F745" s="78"/>
      <c r="G745" s="78"/>
      <c r="H745" s="79"/>
      <c r="I745" s="80"/>
      <c r="J745" s="77"/>
      <c r="K745" s="81" t="b">
        <v>0</v>
      </c>
      <c r="L745" s="78"/>
      <c r="M745" s="82"/>
      <c r="N745" s="78"/>
      <c r="O745" s="78"/>
      <c r="P745" s="78"/>
      <c r="Q745" s="78"/>
      <c r="R745" s="78"/>
      <c r="S745" s="78"/>
      <c r="T745" s="83"/>
    </row>
    <row r="746" spans="1:20" ht="15" customHeight="1" x14ac:dyDescent="0.3">
      <c r="A746" s="73"/>
      <c r="B746" s="74"/>
      <c r="C746" s="75"/>
      <c r="D746" s="76"/>
      <c r="E746" s="77"/>
      <c r="F746" s="78"/>
      <c r="G746" s="78"/>
      <c r="H746" s="79"/>
      <c r="I746" s="80"/>
      <c r="J746" s="77"/>
      <c r="K746" s="81" t="b">
        <v>0</v>
      </c>
      <c r="L746" s="78"/>
      <c r="M746" s="82"/>
      <c r="N746" s="78"/>
      <c r="O746" s="78"/>
      <c r="P746" s="78"/>
      <c r="Q746" s="78"/>
      <c r="R746" s="78"/>
      <c r="S746" s="78"/>
      <c r="T746" s="83"/>
    </row>
    <row r="747" spans="1:20" ht="15" customHeight="1" x14ac:dyDescent="0.3">
      <c r="A747" s="73"/>
      <c r="B747" s="74"/>
      <c r="C747" s="75"/>
      <c r="D747" s="76"/>
      <c r="E747" s="77"/>
      <c r="F747" s="78"/>
      <c r="G747" s="78"/>
      <c r="H747" s="79"/>
      <c r="I747" s="80"/>
      <c r="J747" s="77"/>
      <c r="K747" s="81" t="b">
        <v>0</v>
      </c>
      <c r="L747" s="78"/>
      <c r="M747" s="82"/>
      <c r="N747" s="78"/>
      <c r="O747" s="78"/>
      <c r="P747" s="78"/>
      <c r="Q747" s="78"/>
      <c r="R747" s="78"/>
      <c r="S747" s="78"/>
      <c r="T747" s="83"/>
    </row>
    <row r="748" spans="1:20" ht="15" customHeight="1" x14ac:dyDescent="0.3">
      <c r="A748" s="73"/>
      <c r="B748" s="74"/>
      <c r="C748" s="75"/>
      <c r="D748" s="76"/>
      <c r="E748" s="77"/>
      <c r="F748" s="78"/>
      <c r="G748" s="78"/>
      <c r="H748" s="79"/>
      <c r="I748" s="80"/>
      <c r="J748" s="77"/>
      <c r="K748" s="81" t="b">
        <v>0</v>
      </c>
      <c r="L748" s="78"/>
      <c r="M748" s="82"/>
      <c r="N748" s="78"/>
      <c r="O748" s="78"/>
      <c r="P748" s="78"/>
      <c r="Q748" s="78"/>
      <c r="R748" s="78"/>
      <c r="S748" s="78"/>
      <c r="T748" s="83"/>
    </row>
    <row r="749" spans="1:20" ht="15" customHeight="1" x14ac:dyDescent="0.3">
      <c r="A749" s="73"/>
      <c r="B749" s="74"/>
      <c r="C749" s="75"/>
      <c r="D749" s="76"/>
      <c r="E749" s="77"/>
      <c r="F749" s="78"/>
      <c r="G749" s="78"/>
      <c r="H749" s="79"/>
      <c r="I749" s="80"/>
      <c r="J749" s="77"/>
      <c r="K749" s="81" t="b">
        <v>0</v>
      </c>
      <c r="L749" s="78"/>
      <c r="M749" s="82"/>
      <c r="N749" s="78"/>
      <c r="O749" s="78"/>
      <c r="P749" s="78"/>
      <c r="Q749" s="78"/>
      <c r="R749" s="78"/>
      <c r="S749" s="78"/>
      <c r="T749" s="83"/>
    </row>
    <row r="750" spans="1:20" ht="15" customHeight="1" x14ac:dyDescent="0.3">
      <c r="A750" s="73"/>
      <c r="B750" s="74"/>
      <c r="C750" s="75"/>
      <c r="D750" s="76"/>
      <c r="E750" s="77"/>
      <c r="F750" s="78"/>
      <c r="G750" s="78"/>
      <c r="H750" s="79"/>
      <c r="I750" s="80"/>
      <c r="J750" s="77"/>
      <c r="K750" s="81" t="b">
        <v>0</v>
      </c>
      <c r="L750" s="78"/>
      <c r="M750" s="82"/>
      <c r="N750" s="78"/>
      <c r="O750" s="78"/>
      <c r="P750" s="78"/>
      <c r="Q750" s="78"/>
      <c r="R750" s="78"/>
      <c r="S750" s="78"/>
      <c r="T750" s="83"/>
    </row>
    <row r="751" spans="1:20" ht="15" customHeight="1" x14ac:dyDescent="0.3">
      <c r="A751" s="73"/>
      <c r="B751" s="74"/>
      <c r="C751" s="75"/>
      <c r="D751" s="76"/>
      <c r="E751" s="77"/>
      <c r="F751" s="78"/>
      <c r="G751" s="78"/>
      <c r="H751" s="79"/>
      <c r="I751" s="80"/>
      <c r="J751" s="77"/>
      <c r="K751" s="81" t="b">
        <v>0</v>
      </c>
      <c r="L751" s="78"/>
      <c r="M751" s="82"/>
      <c r="N751" s="78"/>
      <c r="O751" s="78"/>
      <c r="P751" s="78"/>
      <c r="Q751" s="78"/>
      <c r="R751" s="78"/>
      <c r="S751" s="78"/>
      <c r="T751" s="83"/>
    </row>
    <row r="752" spans="1:20" ht="15" customHeight="1" x14ac:dyDescent="0.3">
      <c r="A752" s="73"/>
      <c r="B752" s="74"/>
      <c r="C752" s="75"/>
      <c r="D752" s="76"/>
      <c r="E752" s="77"/>
      <c r="F752" s="78"/>
      <c r="G752" s="78"/>
      <c r="H752" s="79"/>
      <c r="I752" s="80"/>
      <c r="J752" s="77"/>
      <c r="K752" s="81" t="b">
        <v>0</v>
      </c>
      <c r="L752" s="78"/>
      <c r="M752" s="82"/>
      <c r="N752" s="78"/>
      <c r="O752" s="78"/>
      <c r="P752" s="78"/>
      <c r="Q752" s="78"/>
      <c r="R752" s="78"/>
      <c r="S752" s="78"/>
      <c r="T752" s="83"/>
    </row>
    <row r="753" spans="1:20" ht="15" customHeight="1" x14ac:dyDescent="0.3">
      <c r="A753" s="73"/>
      <c r="B753" s="74"/>
      <c r="C753" s="75"/>
      <c r="D753" s="76"/>
      <c r="E753" s="77"/>
      <c r="F753" s="78"/>
      <c r="G753" s="78"/>
      <c r="H753" s="79"/>
      <c r="I753" s="80"/>
      <c r="J753" s="77"/>
      <c r="K753" s="81" t="b">
        <v>0</v>
      </c>
      <c r="L753" s="78"/>
      <c r="M753" s="82"/>
      <c r="N753" s="78"/>
      <c r="O753" s="78"/>
      <c r="P753" s="78"/>
      <c r="Q753" s="78"/>
      <c r="R753" s="78"/>
      <c r="S753" s="78"/>
      <c r="T753" s="83"/>
    </row>
    <row r="754" spans="1:20" ht="15" customHeight="1" x14ac:dyDescent="0.3">
      <c r="A754" s="73"/>
      <c r="B754" s="74"/>
      <c r="C754" s="75"/>
      <c r="D754" s="76"/>
      <c r="E754" s="77"/>
      <c r="F754" s="78"/>
      <c r="G754" s="78"/>
      <c r="H754" s="79"/>
      <c r="I754" s="80"/>
      <c r="J754" s="77"/>
      <c r="K754" s="81" t="b">
        <v>0</v>
      </c>
      <c r="L754" s="78"/>
      <c r="M754" s="82"/>
      <c r="N754" s="78"/>
      <c r="O754" s="78"/>
      <c r="P754" s="78"/>
      <c r="Q754" s="78"/>
      <c r="R754" s="78"/>
      <c r="S754" s="78"/>
      <c r="T754" s="83"/>
    </row>
    <row r="755" spans="1:20" ht="15" customHeight="1" x14ac:dyDescent="0.3">
      <c r="A755" s="73"/>
      <c r="B755" s="74"/>
      <c r="C755" s="75"/>
      <c r="D755" s="76"/>
      <c r="E755" s="77"/>
      <c r="F755" s="78"/>
      <c r="G755" s="78"/>
      <c r="H755" s="79"/>
      <c r="I755" s="80"/>
      <c r="J755" s="77"/>
      <c r="K755" s="81" t="b">
        <v>0</v>
      </c>
      <c r="L755" s="78"/>
      <c r="M755" s="82"/>
      <c r="N755" s="78"/>
      <c r="O755" s="78"/>
      <c r="P755" s="78"/>
      <c r="Q755" s="78"/>
      <c r="R755" s="78"/>
      <c r="S755" s="78"/>
      <c r="T755" s="83"/>
    </row>
    <row r="756" spans="1:20" ht="15" customHeight="1" x14ac:dyDescent="0.3">
      <c r="A756" s="73"/>
      <c r="B756" s="74"/>
      <c r="C756" s="75"/>
      <c r="D756" s="76"/>
      <c r="E756" s="77"/>
      <c r="F756" s="78"/>
      <c r="G756" s="78"/>
      <c r="H756" s="79"/>
      <c r="I756" s="80"/>
      <c r="J756" s="77"/>
      <c r="K756" s="81" t="b">
        <v>0</v>
      </c>
      <c r="L756" s="78"/>
      <c r="M756" s="82"/>
      <c r="N756" s="78"/>
      <c r="O756" s="78"/>
      <c r="P756" s="78"/>
      <c r="Q756" s="78"/>
      <c r="R756" s="78"/>
      <c r="S756" s="78"/>
      <c r="T756" s="83"/>
    </row>
    <row r="757" spans="1:20" ht="15" customHeight="1" x14ac:dyDescent="0.3">
      <c r="A757" s="73"/>
      <c r="B757" s="74"/>
      <c r="C757" s="75"/>
      <c r="D757" s="76"/>
      <c r="E757" s="77"/>
      <c r="F757" s="78"/>
      <c r="G757" s="78"/>
      <c r="H757" s="79"/>
      <c r="I757" s="80"/>
      <c r="J757" s="77"/>
      <c r="K757" s="81" t="b">
        <v>0</v>
      </c>
      <c r="L757" s="78"/>
      <c r="M757" s="82"/>
      <c r="N757" s="78"/>
      <c r="O757" s="78"/>
      <c r="P757" s="78"/>
      <c r="Q757" s="78"/>
      <c r="R757" s="78"/>
      <c r="S757" s="78"/>
      <c r="T757" s="83"/>
    </row>
    <row r="758" spans="1:20" ht="15" customHeight="1" x14ac:dyDescent="0.3">
      <c r="A758" s="73"/>
      <c r="B758" s="74"/>
      <c r="C758" s="75"/>
      <c r="D758" s="76"/>
      <c r="E758" s="77"/>
      <c r="F758" s="78"/>
      <c r="G758" s="78"/>
      <c r="H758" s="79"/>
      <c r="I758" s="80"/>
      <c r="J758" s="77"/>
      <c r="K758" s="81" t="b">
        <v>0</v>
      </c>
      <c r="L758" s="78"/>
      <c r="M758" s="82"/>
      <c r="N758" s="78"/>
      <c r="O758" s="78"/>
      <c r="P758" s="78"/>
      <c r="Q758" s="78"/>
      <c r="R758" s="78"/>
      <c r="S758" s="78"/>
      <c r="T758" s="83"/>
    </row>
    <row r="759" spans="1:20" ht="15" customHeight="1" x14ac:dyDescent="0.3">
      <c r="A759" s="73"/>
      <c r="B759" s="74"/>
      <c r="C759" s="75"/>
      <c r="D759" s="76"/>
      <c r="E759" s="77"/>
      <c r="F759" s="78"/>
      <c r="G759" s="78"/>
      <c r="H759" s="79"/>
      <c r="I759" s="80"/>
      <c r="J759" s="77"/>
      <c r="K759" s="81" t="b">
        <v>0</v>
      </c>
      <c r="L759" s="78"/>
      <c r="M759" s="82"/>
      <c r="N759" s="78"/>
      <c r="O759" s="78"/>
      <c r="P759" s="78"/>
      <c r="Q759" s="78"/>
      <c r="R759" s="78"/>
      <c r="S759" s="78"/>
      <c r="T759" s="83"/>
    </row>
    <row r="760" spans="1:20" ht="15" customHeight="1" x14ac:dyDescent="0.3">
      <c r="A760" s="73"/>
      <c r="B760" s="74"/>
      <c r="C760" s="75"/>
      <c r="D760" s="76"/>
      <c r="E760" s="77"/>
      <c r="F760" s="78"/>
      <c r="G760" s="78"/>
      <c r="H760" s="79"/>
      <c r="I760" s="80"/>
      <c r="J760" s="77"/>
      <c r="K760" s="81" t="b">
        <v>0</v>
      </c>
      <c r="L760" s="78"/>
      <c r="M760" s="82"/>
      <c r="N760" s="78"/>
      <c r="O760" s="78"/>
      <c r="P760" s="78"/>
      <c r="Q760" s="78"/>
      <c r="R760" s="78"/>
      <c r="S760" s="78"/>
      <c r="T760" s="83"/>
    </row>
    <row r="761" spans="1:20" ht="15" customHeight="1" x14ac:dyDescent="0.3">
      <c r="A761" s="73"/>
      <c r="B761" s="74"/>
      <c r="C761" s="75"/>
      <c r="D761" s="76"/>
      <c r="E761" s="77"/>
      <c r="F761" s="78"/>
      <c r="G761" s="78"/>
      <c r="H761" s="79"/>
      <c r="I761" s="80"/>
      <c r="J761" s="77"/>
      <c r="K761" s="81" t="b">
        <v>0</v>
      </c>
      <c r="L761" s="78"/>
      <c r="M761" s="82"/>
      <c r="N761" s="78"/>
      <c r="O761" s="78"/>
      <c r="P761" s="78"/>
      <c r="Q761" s="78"/>
      <c r="R761" s="78"/>
      <c r="S761" s="78"/>
      <c r="T761" s="83"/>
    </row>
    <row r="762" spans="1:20" ht="15" customHeight="1" x14ac:dyDescent="0.3">
      <c r="A762" s="73"/>
      <c r="B762" s="74"/>
      <c r="C762" s="75"/>
      <c r="D762" s="76"/>
      <c r="E762" s="77"/>
      <c r="F762" s="78"/>
      <c r="G762" s="78"/>
      <c r="H762" s="79"/>
      <c r="I762" s="80"/>
      <c r="J762" s="77"/>
      <c r="K762" s="81" t="b">
        <v>0</v>
      </c>
      <c r="L762" s="78"/>
      <c r="M762" s="82"/>
      <c r="N762" s="78"/>
      <c r="O762" s="78"/>
      <c r="P762" s="78"/>
      <c r="Q762" s="78"/>
      <c r="R762" s="78"/>
      <c r="S762" s="78"/>
      <c r="T762" s="83"/>
    </row>
    <row r="763" spans="1:20" ht="15" customHeight="1" x14ac:dyDescent="0.3">
      <c r="A763" s="73"/>
      <c r="B763" s="74"/>
      <c r="C763" s="75"/>
      <c r="D763" s="76"/>
      <c r="E763" s="77"/>
      <c r="F763" s="78"/>
      <c r="G763" s="78"/>
      <c r="H763" s="79"/>
      <c r="I763" s="80"/>
      <c r="J763" s="77"/>
      <c r="K763" s="81" t="b">
        <v>0</v>
      </c>
      <c r="L763" s="78"/>
      <c r="M763" s="82"/>
      <c r="N763" s="78"/>
      <c r="O763" s="78"/>
      <c r="P763" s="78"/>
      <c r="Q763" s="78"/>
      <c r="R763" s="78"/>
      <c r="S763" s="78"/>
      <c r="T763" s="83"/>
    </row>
    <row r="764" spans="1:20" ht="15" customHeight="1" x14ac:dyDescent="0.3">
      <c r="A764" s="73"/>
      <c r="B764" s="74"/>
      <c r="C764" s="75"/>
      <c r="D764" s="76"/>
      <c r="E764" s="77"/>
      <c r="F764" s="78"/>
      <c r="G764" s="78"/>
      <c r="H764" s="79"/>
      <c r="I764" s="80"/>
      <c r="J764" s="77"/>
      <c r="K764" s="81" t="b">
        <v>0</v>
      </c>
      <c r="L764" s="78"/>
      <c r="M764" s="82"/>
      <c r="N764" s="78"/>
      <c r="O764" s="78"/>
      <c r="P764" s="78"/>
      <c r="Q764" s="78"/>
      <c r="R764" s="78"/>
      <c r="S764" s="78"/>
      <c r="T764" s="83"/>
    </row>
    <row r="765" spans="1:20" ht="15" customHeight="1" x14ac:dyDescent="0.3">
      <c r="A765" s="73"/>
      <c r="B765" s="74"/>
      <c r="C765" s="75"/>
      <c r="D765" s="76"/>
      <c r="E765" s="77"/>
      <c r="F765" s="78"/>
      <c r="G765" s="78"/>
      <c r="H765" s="79"/>
      <c r="I765" s="80"/>
      <c r="J765" s="77"/>
      <c r="K765" s="81" t="b">
        <v>0</v>
      </c>
      <c r="L765" s="78"/>
      <c r="M765" s="82"/>
      <c r="N765" s="78"/>
      <c r="O765" s="78"/>
      <c r="P765" s="78"/>
      <c r="Q765" s="78"/>
      <c r="R765" s="78"/>
      <c r="S765" s="78"/>
      <c r="T765" s="83"/>
    </row>
    <row r="766" spans="1:20" ht="15" customHeight="1" x14ac:dyDescent="0.3">
      <c r="A766" s="73"/>
      <c r="B766" s="74"/>
      <c r="C766" s="75"/>
      <c r="D766" s="76"/>
      <c r="E766" s="77"/>
      <c r="F766" s="78"/>
      <c r="G766" s="78"/>
      <c r="H766" s="79"/>
      <c r="I766" s="80"/>
      <c r="J766" s="77"/>
      <c r="K766" s="81" t="b">
        <v>0</v>
      </c>
      <c r="L766" s="78"/>
      <c r="M766" s="82"/>
      <c r="N766" s="78"/>
      <c r="O766" s="78"/>
      <c r="P766" s="78"/>
      <c r="Q766" s="78"/>
      <c r="R766" s="78"/>
      <c r="S766" s="78"/>
      <c r="T766" s="83"/>
    </row>
    <row r="767" spans="1:20" ht="15" customHeight="1" x14ac:dyDescent="0.3">
      <c r="A767" s="73"/>
      <c r="B767" s="74"/>
      <c r="C767" s="75"/>
      <c r="D767" s="76"/>
      <c r="E767" s="77"/>
      <c r="F767" s="78"/>
      <c r="G767" s="78"/>
      <c r="H767" s="79"/>
      <c r="I767" s="80"/>
      <c r="J767" s="77"/>
      <c r="K767" s="81" t="b">
        <v>0</v>
      </c>
      <c r="L767" s="78"/>
      <c r="M767" s="82"/>
      <c r="N767" s="78"/>
      <c r="O767" s="78"/>
      <c r="P767" s="78"/>
      <c r="Q767" s="78"/>
      <c r="R767" s="78"/>
      <c r="S767" s="78"/>
      <c r="T767" s="83"/>
    </row>
    <row r="768" spans="1:20" ht="15" customHeight="1" x14ac:dyDescent="0.3">
      <c r="A768" s="73"/>
      <c r="B768" s="74"/>
      <c r="C768" s="75"/>
      <c r="D768" s="76"/>
      <c r="E768" s="77"/>
      <c r="F768" s="78"/>
      <c r="G768" s="78"/>
      <c r="H768" s="79"/>
      <c r="I768" s="80"/>
      <c r="J768" s="77"/>
      <c r="K768" s="81" t="b">
        <v>0</v>
      </c>
      <c r="L768" s="78"/>
      <c r="M768" s="82"/>
      <c r="N768" s="78"/>
      <c r="O768" s="78"/>
      <c r="P768" s="78"/>
      <c r="Q768" s="78"/>
      <c r="R768" s="78"/>
      <c r="S768" s="78"/>
      <c r="T768" s="83"/>
    </row>
    <row r="769" spans="1:20" ht="15" customHeight="1" x14ac:dyDescent="0.3">
      <c r="A769" s="73"/>
      <c r="B769" s="74"/>
      <c r="C769" s="75"/>
      <c r="D769" s="76"/>
      <c r="E769" s="77"/>
      <c r="F769" s="78"/>
      <c r="G769" s="78"/>
      <c r="H769" s="79"/>
      <c r="I769" s="80"/>
      <c r="J769" s="77"/>
      <c r="K769" s="81" t="b">
        <v>0</v>
      </c>
      <c r="L769" s="78"/>
      <c r="M769" s="82"/>
      <c r="N769" s="78"/>
      <c r="O769" s="78"/>
      <c r="P769" s="78"/>
      <c r="Q769" s="78"/>
      <c r="R769" s="78"/>
      <c r="S769" s="78"/>
      <c r="T769" s="83"/>
    </row>
    <row r="770" spans="1:20" ht="15" customHeight="1" x14ac:dyDescent="0.3">
      <c r="A770" s="73"/>
      <c r="B770" s="74"/>
      <c r="C770" s="75"/>
      <c r="D770" s="76"/>
      <c r="E770" s="77"/>
      <c r="F770" s="78"/>
      <c r="G770" s="78"/>
      <c r="H770" s="79"/>
      <c r="I770" s="80"/>
      <c r="J770" s="77"/>
      <c r="K770" s="81" t="b">
        <v>0</v>
      </c>
      <c r="L770" s="78"/>
      <c r="M770" s="82"/>
      <c r="N770" s="78"/>
      <c r="O770" s="78"/>
      <c r="P770" s="78"/>
      <c r="Q770" s="78"/>
      <c r="R770" s="78"/>
      <c r="S770" s="78"/>
      <c r="T770" s="83"/>
    </row>
    <row r="771" spans="1:20" ht="15" customHeight="1" x14ac:dyDescent="0.3">
      <c r="A771" s="73"/>
      <c r="B771" s="74"/>
      <c r="C771" s="75"/>
      <c r="D771" s="76"/>
      <c r="E771" s="77"/>
      <c r="F771" s="78"/>
      <c r="G771" s="78"/>
      <c r="H771" s="79"/>
      <c r="I771" s="80"/>
      <c r="J771" s="77"/>
      <c r="K771" s="81" t="b">
        <v>0</v>
      </c>
      <c r="L771" s="78"/>
      <c r="M771" s="82"/>
      <c r="N771" s="78"/>
      <c r="O771" s="78"/>
      <c r="P771" s="78"/>
      <c r="Q771" s="78"/>
      <c r="R771" s="78"/>
      <c r="S771" s="78"/>
      <c r="T771" s="83"/>
    </row>
    <row r="772" spans="1:20" ht="15" customHeight="1" x14ac:dyDescent="0.3">
      <c r="A772" s="73"/>
      <c r="B772" s="74"/>
      <c r="C772" s="75"/>
      <c r="D772" s="76"/>
      <c r="E772" s="77"/>
      <c r="F772" s="78"/>
      <c r="G772" s="78"/>
      <c r="H772" s="79"/>
      <c r="I772" s="80"/>
      <c r="J772" s="77"/>
      <c r="K772" s="81" t="b">
        <v>0</v>
      </c>
      <c r="L772" s="78"/>
      <c r="M772" s="82"/>
      <c r="N772" s="78"/>
      <c r="O772" s="78"/>
      <c r="P772" s="78"/>
      <c r="Q772" s="78"/>
      <c r="R772" s="78"/>
      <c r="S772" s="78"/>
      <c r="T772" s="83"/>
    </row>
    <row r="773" spans="1:20" ht="15" customHeight="1" x14ac:dyDescent="0.3">
      <c r="A773" s="73"/>
      <c r="B773" s="74"/>
      <c r="C773" s="75"/>
      <c r="D773" s="76"/>
      <c r="E773" s="77"/>
      <c r="F773" s="78"/>
      <c r="G773" s="78"/>
      <c r="H773" s="79"/>
      <c r="I773" s="80"/>
      <c r="J773" s="77"/>
      <c r="K773" s="81" t="b">
        <v>0</v>
      </c>
      <c r="L773" s="78"/>
      <c r="M773" s="82"/>
      <c r="N773" s="78"/>
      <c r="O773" s="78"/>
      <c r="P773" s="78"/>
      <c r="Q773" s="78"/>
      <c r="R773" s="78"/>
      <c r="S773" s="78"/>
      <c r="T773" s="83"/>
    </row>
    <row r="774" spans="1:20" ht="15" customHeight="1" x14ac:dyDescent="0.3">
      <c r="A774" s="73"/>
      <c r="B774" s="74"/>
      <c r="C774" s="75"/>
      <c r="D774" s="76"/>
      <c r="E774" s="77"/>
      <c r="F774" s="78"/>
      <c r="G774" s="78"/>
      <c r="H774" s="79"/>
      <c r="I774" s="80"/>
      <c r="J774" s="77"/>
      <c r="K774" s="81" t="b">
        <v>0</v>
      </c>
      <c r="L774" s="78"/>
      <c r="M774" s="82"/>
      <c r="N774" s="78"/>
      <c r="O774" s="78"/>
      <c r="P774" s="78"/>
      <c r="Q774" s="78"/>
      <c r="R774" s="78"/>
      <c r="S774" s="78"/>
      <c r="T774" s="83"/>
    </row>
    <row r="775" spans="1:20" ht="15" customHeight="1" x14ac:dyDescent="0.3">
      <c r="A775" s="73"/>
      <c r="B775" s="74"/>
      <c r="C775" s="75"/>
      <c r="D775" s="76"/>
      <c r="E775" s="77"/>
      <c r="F775" s="78"/>
      <c r="G775" s="78"/>
      <c r="H775" s="79"/>
      <c r="I775" s="80"/>
      <c r="J775" s="77"/>
      <c r="K775" s="81" t="b">
        <v>0</v>
      </c>
      <c r="L775" s="78"/>
      <c r="M775" s="82"/>
      <c r="N775" s="78"/>
      <c r="O775" s="78"/>
      <c r="P775" s="78"/>
      <c r="Q775" s="78"/>
      <c r="R775" s="78"/>
      <c r="S775" s="78"/>
      <c r="T775" s="83"/>
    </row>
    <row r="776" spans="1:20" ht="15" customHeight="1" x14ac:dyDescent="0.3">
      <c r="A776" s="73"/>
      <c r="B776" s="74"/>
      <c r="C776" s="75"/>
      <c r="D776" s="76"/>
      <c r="E776" s="77"/>
      <c r="F776" s="78"/>
      <c r="G776" s="78"/>
      <c r="H776" s="79"/>
      <c r="I776" s="80"/>
      <c r="J776" s="77"/>
      <c r="K776" s="81" t="b">
        <v>0</v>
      </c>
      <c r="L776" s="78"/>
      <c r="M776" s="82"/>
      <c r="N776" s="78"/>
      <c r="O776" s="78"/>
      <c r="P776" s="78"/>
      <c r="Q776" s="78"/>
      <c r="R776" s="78"/>
      <c r="S776" s="78"/>
      <c r="T776" s="83"/>
    </row>
    <row r="777" spans="1:20" ht="15" customHeight="1" x14ac:dyDescent="0.3">
      <c r="A777" s="73"/>
      <c r="B777" s="74"/>
      <c r="C777" s="75"/>
      <c r="D777" s="76"/>
      <c r="E777" s="77"/>
      <c r="F777" s="78"/>
      <c r="G777" s="78"/>
      <c r="H777" s="79"/>
      <c r="I777" s="80"/>
      <c r="J777" s="77"/>
      <c r="K777" s="81" t="b">
        <v>0</v>
      </c>
      <c r="L777" s="78"/>
      <c r="M777" s="82"/>
      <c r="N777" s="78"/>
      <c r="O777" s="78"/>
      <c r="P777" s="78"/>
      <c r="Q777" s="78"/>
      <c r="R777" s="78"/>
      <c r="S777" s="78"/>
      <c r="T777" s="83"/>
    </row>
    <row r="778" spans="1:20" ht="15" customHeight="1" x14ac:dyDescent="0.3">
      <c r="A778" s="73"/>
      <c r="B778" s="74"/>
      <c r="C778" s="75"/>
      <c r="D778" s="76"/>
      <c r="E778" s="77"/>
      <c r="F778" s="78"/>
      <c r="G778" s="78"/>
      <c r="H778" s="79"/>
      <c r="I778" s="80"/>
      <c r="J778" s="77"/>
      <c r="K778" s="81" t="b">
        <v>0</v>
      </c>
      <c r="L778" s="78"/>
      <c r="M778" s="82"/>
      <c r="N778" s="78"/>
      <c r="O778" s="78"/>
      <c r="P778" s="78"/>
      <c r="Q778" s="78"/>
      <c r="R778" s="78"/>
      <c r="S778" s="78"/>
      <c r="T778" s="83"/>
    </row>
    <row r="779" spans="1:20" ht="15" customHeight="1" x14ac:dyDescent="0.3">
      <c r="A779" s="73"/>
      <c r="B779" s="74"/>
      <c r="C779" s="75"/>
      <c r="D779" s="76"/>
      <c r="E779" s="77"/>
      <c r="F779" s="78"/>
      <c r="G779" s="78"/>
      <c r="H779" s="79"/>
      <c r="I779" s="80"/>
      <c r="J779" s="77"/>
      <c r="K779" s="81" t="b">
        <v>0</v>
      </c>
      <c r="L779" s="78"/>
      <c r="M779" s="82"/>
      <c r="N779" s="78"/>
      <c r="O779" s="78"/>
      <c r="P779" s="78"/>
      <c r="Q779" s="78"/>
      <c r="R779" s="78"/>
      <c r="S779" s="78"/>
      <c r="T779" s="83"/>
    </row>
    <row r="780" spans="1:20" ht="15" customHeight="1" x14ac:dyDescent="0.3">
      <c r="A780" s="73"/>
      <c r="B780" s="74"/>
      <c r="C780" s="75"/>
      <c r="D780" s="76"/>
      <c r="E780" s="77"/>
      <c r="F780" s="78"/>
      <c r="G780" s="78"/>
      <c r="H780" s="79"/>
      <c r="I780" s="80"/>
      <c r="J780" s="77"/>
      <c r="K780" s="81" t="b">
        <v>0</v>
      </c>
      <c r="L780" s="78"/>
      <c r="M780" s="82"/>
      <c r="N780" s="78"/>
      <c r="O780" s="78"/>
      <c r="P780" s="78"/>
      <c r="Q780" s="78"/>
      <c r="R780" s="78"/>
      <c r="S780" s="78"/>
      <c r="T780" s="83"/>
    </row>
    <row r="781" spans="1:20" ht="15" customHeight="1" x14ac:dyDescent="0.3">
      <c r="A781" s="73"/>
      <c r="B781" s="74"/>
      <c r="C781" s="75"/>
      <c r="D781" s="76"/>
      <c r="E781" s="77"/>
      <c r="F781" s="78"/>
      <c r="G781" s="78"/>
      <c r="H781" s="79"/>
      <c r="I781" s="80"/>
      <c r="J781" s="77"/>
      <c r="K781" s="81" t="b">
        <v>0</v>
      </c>
      <c r="L781" s="78"/>
      <c r="M781" s="82"/>
      <c r="N781" s="78"/>
      <c r="O781" s="78"/>
      <c r="P781" s="78"/>
      <c r="Q781" s="78"/>
      <c r="R781" s="78"/>
      <c r="S781" s="78"/>
      <c r="T781" s="83"/>
    </row>
    <row r="782" spans="1:20" ht="15" customHeight="1" x14ac:dyDescent="0.3">
      <c r="A782" s="73"/>
      <c r="B782" s="74"/>
      <c r="C782" s="75"/>
      <c r="D782" s="76"/>
      <c r="E782" s="77"/>
      <c r="F782" s="78"/>
      <c r="G782" s="78"/>
      <c r="H782" s="79"/>
      <c r="I782" s="80"/>
      <c r="J782" s="77"/>
      <c r="K782" s="81" t="b">
        <v>0</v>
      </c>
      <c r="L782" s="78"/>
      <c r="M782" s="82"/>
      <c r="N782" s="78"/>
      <c r="O782" s="78"/>
      <c r="P782" s="78"/>
      <c r="Q782" s="78"/>
      <c r="R782" s="78"/>
      <c r="S782" s="78"/>
      <c r="T782" s="83"/>
    </row>
    <row r="783" spans="1:20" ht="15" customHeight="1" x14ac:dyDescent="0.3">
      <c r="A783" s="73"/>
      <c r="B783" s="74"/>
      <c r="C783" s="75"/>
      <c r="D783" s="76"/>
      <c r="E783" s="77"/>
      <c r="F783" s="78"/>
      <c r="G783" s="78"/>
      <c r="H783" s="79"/>
      <c r="I783" s="80"/>
      <c r="J783" s="77"/>
      <c r="K783" s="81" t="b">
        <v>0</v>
      </c>
      <c r="L783" s="78"/>
      <c r="M783" s="82"/>
      <c r="N783" s="78"/>
      <c r="O783" s="78"/>
      <c r="P783" s="78"/>
      <c r="Q783" s="78"/>
      <c r="R783" s="78"/>
      <c r="S783" s="78"/>
      <c r="T783" s="83"/>
    </row>
    <row r="784" spans="1:20" ht="15" customHeight="1" x14ac:dyDescent="0.3">
      <c r="A784" s="73"/>
      <c r="B784" s="74"/>
      <c r="C784" s="75"/>
      <c r="D784" s="76"/>
      <c r="E784" s="77"/>
      <c r="F784" s="78"/>
      <c r="G784" s="78"/>
      <c r="H784" s="79"/>
      <c r="I784" s="80"/>
      <c r="J784" s="77"/>
      <c r="K784" s="81" t="b">
        <v>0</v>
      </c>
      <c r="L784" s="78"/>
      <c r="M784" s="82"/>
      <c r="N784" s="78"/>
      <c r="O784" s="78"/>
      <c r="P784" s="78"/>
      <c r="Q784" s="78"/>
      <c r="R784" s="78"/>
      <c r="S784" s="78"/>
      <c r="T784" s="83"/>
    </row>
    <row r="785" spans="1:20" ht="15" customHeight="1" x14ac:dyDescent="0.3">
      <c r="A785" s="73"/>
      <c r="B785" s="74"/>
      <c r="C785" s="75"/>
      <c r="D785" s="76"/>
      <c r="E785" s="77"/>
      <c r="F785" s="78"/>
      <c r="G785" s="78"/>
      <c r="H785" s="79"/>
      <c r="I785" s="80"/>
      <c r="J785" s="77"/>
      <c r="K785" s="81" t="b">
        <v>0</v>
      </c>
      <c r="L785" s="78"/>
      <c r="M785" s="82"/>
      <c r="N785" s="78"/>
      <c r="O785" s="78"/>
      <c r="P785" s="78"/>
      <c r="Q785" s="78"/>
      <c r="R785" s="78"/>
      <c r="S785" s="78"/>
      <c r="T785" s="83"/>
    </row>
    <row r="786" spans="1:20" ht="15" customHeight="1" x14ac:dyDescent="0.3">
      <c r="A786" s="73"/>
      <c r="B786" s="74"/>
      <c r="C786" s="75"/>
      <c r="D786" s="76"/>
      <c r="E786" s="77"/>
      <c r="F786" s="78"/>
      <c r="G786" s="78"/>
      <c r="H786" s="79"/>
      <c r="I786" s="80"/>
      <c r="J786" s="77"/>
      <c r="K786" s="81" t="b">
        <v>0</v>
      </c>
      <c r="L786" s="78"/>
      <c r="M786" s="82"/>
      <c r="N786" s="78"/>
      <c r="O786" s="78"/>
      <c r="P786" s="78"/>
      <c r="Q786" s="78"/>
      <c r="R786" s="78"/>
      <c r="S786" s="78"/>
      <c r="T786" s="83"/>
    </row>
    <row r="787" spans="1:20" ht="15" customHeight="1" x14ac:dyDescent="0.3">
      <c r="A787" s="73"/>
      <c r="B787" s="74"/>
      <c r="C787" s="75"/>
      <c r="D787" s="76"/>
      <c r="E787" s="77"/>
      <c r="F787" s="78"/>
      <c r="G787" s="78"/>
      <c r="H787" s="79"/>
      <c r="I787" s="80"/>
      <c r="J787" s="77"/>
      <c r="K787" s="81" t="b">
        <v>0</v>
      </c>
      <c r="L787" s="78"/>
      <c r="M787" s="82"/>
      <c r="N787" s="78"/>
      <c r="O787" s="78"/>
      <c r="P787" s="78"/>
      <c r="Q787" s="78"/>
      <c r="R787" s="78"/>
      <c r="S787" s="78"/>
      <c r="T787" s="83"/>
    </row>
    <row r="788" spans="1:20" ht="15" customHeight="1" x14ac:dyDescent="0.3">
      <c r="A788" s="73"/>
      <c r="B788" s="74"/>
      <c r="C788" s="75"/>
      <c r="D788" s="76"/>
      <c r="E788" s="77"/>
      <c r="F788" s="78"/>
      <c r="G788" s="78"/>
      <c r="H788" s="79"/>
      <c r="I788" s="80"/>
      <c r="J788" s="77"/>
      <c r="K788" s="81" t="b">
        <v>0</v>
      </c>
      <c r="L788" s="78"/>
      <c r="M788" s="82"/>
      <c r="N788" s="78"/>
      <c r="O788" s="78"/>
      <c r="P788" s="78"/>
      <c r="Q788" s="78"/>
      <c r="R788" s="78"/>
      <c r="S788" s="78"/>
      <c r="T788" s="83"/>
    </row>
    <row r="789" spans="1:20" ht="15" customHeight="1" x14ac:dyDescent="0.3">
      <c r="A789" s="73"/>
      <c r="B789" s="74"/>
      <c r="C789" s="75"/>
      <c r="D789" s="76"/>
      <c r="E789" s="77"/>
      <c r="F789" s="78"/>
      <c r="G789" s="78"/>
      <c r="H789" s="79"/>
      <c r="I789" s="80"/>
      <c r="J789" s="77"/>
      <c r="K789" s="81" t="b">
        <v>0</v>
      </c>
      <c r="L789" s="78"/>
      <c r="M789" s="82"/>
      <c r="N789" s="78"/>
      <c r="O789" s="78"/>
      <c r="P789" s="78"/>
      <c r="Q789" s="78"/>
      <c r="R789" s="78"/>
      <c r="S789" s="78"/>
      <c r="T789" s="83"/>
    </row>
    <row r="790" spans="1:20" ht="15" customHeight="1" x14ac:dyDescent="0.3">
      <c r="A790" s="73"/>
      <c r="B790" s="74"/>
      <c r="C790" s="75"/>
      <c r="D790" s="76"/>
      <c r="E790" s="77"/>
      <c r="F790" s="78"/>
      <c r="G790" s="78"/>
      <c r="H790" s="79"/>
      <c r="I790" s="80"/>
      <c r="J790" s="77"/>
      <c r="K790" s="81" t="b">
        <v>0</v>
      </c>
      <c r="L790" s="78"/>
      <c r="M790" s="82"/>
      <c r="N790" s="78"/>
      <c r="O790" s="78"/>
      <c r="P790" s="78"/>
      <c r="Q790" s="78"/>
      <c r="R790" s="78"/>
      <c r="S790" s="78"/>
      <c r="T790" s="83"/>
    </row>
    <row r="791" spans="1:20" ht="15" customHeight="1" x14ac:dyDescent="0.3">
      <c r="A791" s="73"/>
      <c r="B791" s="74"/>
      <c r="C791" s="75"/>
      <c r="D791" s="76"/>
      <c r="E791" s="77"/>
      <c r="F791" s="78"/>
      <c r="G791" s="78"/>
      <c r="H791" s="79"/>
      <c r="I791" s="80"/>
      <c r="J791" s="77"/>
      <c r="K791" s="81" t="b">
        <v>0</v>
      </c>
      <c r="L791" s="78"/>
      <c r="M791" s="82"/>
      <c r="N791" s="78"/>
      <c r="O791" s="78"/>
      <c r="P791" s="78"/>
      <c r="Q791" s="78"/>
      <c r="R791" s="78"/>
      <c r="S791" s="78"/>
      <c r="T791" s="83"/>
    </row>
    <row r="792" spans="1:20" ht="15" customHeight="1" x14ac:dyDescent="0.3">
      <c r="A792" s="73"/>
      <c r="B792" s="74"/>
      <c r="C792" s="75"/>
      <c r="D792" s="76"/>
      <c r="E792" s="77"/>
      <c r="F792" s="78"/>
      <c r="G792" s="78"/>
      <c r="H792" s="79"/>
      <c r="I792" s="80"/>
      <c r="J792" s="77"/>
      <c r="K792" s="81" t="b">
        <v>0</v>
      </c>
      <c r="L792" s="78"/>
      <c r="M792" s="82"/>
      <c r="N792" s="78"/>
      <c r="O792" s="78"/>
      <c r="P792" s="78"/>
      <c r="Q792" s="78"/>
      <c r="R792" s="78"/>
      <c r="S792" s="78"/>
      <c r="T792" s="83"/>
    </row>
    <row r="793" spans="1:20" ht="15" customHeight="1" x14ac:dyDescent="0.3">
      <c r="A793" s="73"/>
      <c r="B793" s="74"/>
      <c r="C793" s="75"/>
      <c r="D793" s="76"/>
      <c r="E793" s="77"/>
      <c r="F793" s="78"/>
      <c r="G793" s="78"/>
      <c r="H793" s="79"/>
      <c r="I793" s="80"/>
      <c r="J793" s="77"/>
      <c r="K793" s="81" t="b">
        <v>0</v>
      </c>
      <c r="L793" s="78"/>
      <c r="M793" s="82"/>
      <c r="N793" s="78"/>
      <c r="O793" s="78"/>
      <c r="P793" s="78"/>
      <c r="Q793" s="78"/>
      <c r="R793" s="78"/>
      <c r="S793" s="78"/>
      <c r="T793" s="83"/>
    </row>
    <row r="794" spans="1:20" ht="15" customHeight="1" x14ac:dyDescent="0.3">
      <c r="A794" s="73"/>
      <c r="B794" s="74"/>
      <c r="C794" s="75"/>
      <c r="D794" s="76"/>
      <c r="E794" s="77"/>
      <c r="F794" s="78"/>
      <c r="G794" s="78"/>
      <c r="H794" s="79"/>
      <c r="I794" s="80"/>
      <c r="J794" s="77"/>
      <c r="K794" s="81" t="b">
        <v>0</v>
      </c>
      <c r="L794" s="78"/>
      <c r="M794" s="82"/>
      <c r="N794" s="78"/>
      <c r="O794" s="78"/>
      <c r="P794" s="78"/>
      <c r="Q794" s="78"/>
      <c r="R794" s="78"/>
      <c r="S794" s="78"/>
      <c r="T794" s="83"/>
    </row>
    <row r="795" spans="1:20" ht="15" customHeight="1" x14ac:dyDescent="0.3">
      <c r="A795" s="73"/>
      <c r="B795" s="74"/>
      <c r="C795" s="75"/>
      <c r="D795" s="76"/>
      <c r="E795" s="77"/>
      <c r="F795" s="78"/>
      <c r="G795" s="78"/>
      <c r="H795" s="79"/>
      <c r="I795" s="80"/>
      <c r="J795" s="77"/>
      <c r="K795" s="81" t="b">
        <v>0</v>
      </c>
      <c r="L795" s="78"/>
      <c r="M795" s="82"/>
      <c r="N795" s="78"/>
      <c r="O795" s="78"/>
      <c r="P795" s="78"/>
      <c r="Q795" s="78"/>
      <c r="R795" s="78"/>
      <c r="S795" s="78"/>
      <c r="T795" s="83"/>
    </row>
    <row r="796" spans="1:20" ht="15" customHeight="1" x14ac:dyDescent="0.3">
      <c r="A796" s="73"/>
      <c r="B796" s="74"/>
      <c r="C796" s="75"/>
      <c r="D796" s="76"/>
      <c r="E796" s="77"/>
      <c r="F796" s="78"/>
      <c r="G796" s="78"/>
      <c r="H796" s="79"/>
      <c r="I796" s="80"/>
      <c r="J796" s="77"/>
      <c r="K796" s="81" t="b">
        <v>0</v>
      </c>
      <c r="L796" s="78"/>
      <c r="M796" s="82"/>
      <c r="N796" s="78"/>
      <c r="O796" s="78"/>
      <c r="P796" s="78"/>
      <c r="Q796" s="78"/>
      <c r="R796" s="78"/>
      <c r="S796" s="78"/>
      <c r="T796" s="83"/>
    </row>
    <row r="797" spans="1:20" ht="15" customHeight="1" x14ac:dyDescent="0.3">
      <c r="A797" s="73"/>
      <c r="B797" s="74"/>
      <c r="C797" s="75"/>
      <c r="D797" s="76"/>
      <c r="E797" s="77"/>
      <c r="F797" s="78"/>
      <c r="G797" s="78"/>
      <c r="H797" s="79"/>
      <c r="I797" s="80"/>
      <c r="J797" s="77"/>
      <c r="K797" s="81" t="b">
        <v>0</v>
      </c>
      <c r="L797" s="78"/>
      <c r="M797" s="82"/>
      <c r="N797" s="78"/>
      <c r="O797" s="78"/>
      <c r="P797" s="78"/>
      <c r="Q797" s="78"/>
      <c r="R797" s="78"/>
      <c r="S797" s="78"/>
      <c r="T797" s="83"/>
    </row>
    <row r="798" spans="1:20" ht="15" customHeight="1" x14ac:dyDescent="0.3">
      <c r="A798" s="73"/>
      <c r="B798" s="74"/>
      <c r="C798" s="75"/>
      <c r="D798" s="76"/>
      <c r="E798" s="77"/>
      <c r="F798" s="78"/>
      <c r="G798" s="78"/>
      <c r="H798" s="79"/>
      <c r="I798" s="80"/>
      <c r="J798" s="77"/>
      <c r="K798" s="81" t="b">
        <v>0</v>
      </c>
      <c r="L798" s="78"/>
      <c r="M798" s="82"/>
      <c r="N798" s="78"/>
      <c r="O798" s="78"/>
      <c r="P798" s="78"/>
      <c r="Q798" s="78"/>
      <c r="R798" s="78"/>
      <c r="S798" s="78"/>
      <c r="T798" s="83"/>
    </row>
    <row r="799" spans="1:20" ht="15" customHeight="1" x14ac:dyDescent="0.3">
      <c r="A799" s="73"/>
      <c r="B799" s="74"/>
      <c r="C799" s="75"/>
      <c r="D799" s="76"/>
      <c r="E799" s="77"/>
      <c r="F799" s="78"/>
      <c r="G799" s="78"/>
      <c r="H799" s="79"/>
      <c r="I799" s="80"/>
      <c r="J799" s="77"/>
      <c r="K799" s="81" t="b">
        <v>0</v>
      </c>
      <c r="L799" s="78"/>
      <c r="M799" s="82"/>
      <c r="N799" s="78"/>
      <c r="O799" s="78"/>
      <c r="P799" s="78"/>
      <c r="Q799" s="78"/>
      <c r="R799" s="78"/>
      <c r="S799" s="78"/>
      <c r="T799" s="83"/>
    </row>
    <row r="800" spans="1:20" ht="15" customHeight="1" x14ac:dyDescent="0.3">
      <c r="A800" s="73"/>
      <c r="B800" s="74"/>
      <c r="C800" s="75"/>
      <c r="D800" s="76"/>
      <c r="E800" s="77"/>
      <c r="F800" s="78"/>
      <c r="G800" s="78"/>
      <c r="H800" s="79"/>
      <c r="I800" s="80"/>
      <c r="J800" s="77"/>
      <c r="K800" s="81" t="b">
        <v>0</v>
      </c>
      <c r="L800" s="78"/>
      <c r="M800" s="82"/>
      <c r="N800" s="78"/>
      <c r="O800" s="78"/>
      <c r="P800" s="78"/>
      <c r="Q800" s="78"/>
      <c r="R800" s="78"/>
      <c r="S800" s="78"/>
      <c r="T800" s="83"/>
    </row>
    <row r="801" spans="1:20" ht="15" customHeight="1" x14ac:dyDescent="0.3">
      <c r="A801" s="73"/>
      <c r="B801" s="74"/>
      <c r="C801" s="75"/>
      <c r="D801" s="76"/>
      <c r="E801" s="77"/>
      <c r="F801" s="78"/>
      <c r="G801" s="78"/>
      <c r="H801" s="79"/>
      <c r="I801" s="80"/>
      <c r="J801" s="77"/>
      <c r="K801" s="81" t="b">
        <v>0</v>
      </c>
      <c r="L801" s="78"/>
      <c r="M801" s="82"/>
      <c r="N801" s="78"/>
      <c r="O801" s="78"/>
      <c r="P801" s="78"/>
      <c r="Q801" s="78"/>
      <c r="R801" s="78"/>
      <c r="S801" s="78"/>
      <c r="T801" s="83"/>
    </row>
    <row r="802" spans="1:20" ht="15" customHeight="1" x14ac:dyDescent="0.3">
      <c r="A802" s="73"/>
      <c r="B802" s="74"/>
      <c r="C802" s="75"/>
      <c r="D802" s="76"/>
      <c r="E802" s="77"/>
      <c r="F802" s="78"/>
      <c r="G802" s="78"/>
      <c r="H802" s="79"/>
      <c r="I802" s="80"/>
      <c r="J802" s="77"/>
      <c r="K802" s="81" t="b">
        <v>0</v>
      </c>
      <c r="L802" s="78"/>
      <c r="M802" s="82"/>
      <c r="N802" s="78"/>
      <c r="O802" s="78"/>
      <c r="P802" s="78"/>
      <c r="Q802" s="78"/>
      <c r="R802" s="78"/>
      <c r="S802" s="78"/>
      <c r="T802" s="83"/>
    </row>
    <row r="803" spans="1:20" ht="15" customHeight="1" x14ac:dyDescent="0.3">
      <c r="A803" s="73"/>
      <c r="B803" s="74"/>
      <c r="C803" s="75"/>
      <c r="D803" s="76"/>
      <c r="E803" s="77"/>
      <c r="F803" s="78"/>
      <c r="G803" s="78"/>
      <c r="H803" s="79"/>
      <c r="I803" s="80"/>
      <c r="J803" s="77"/>
      <c r="K803" s="81" t="b">
        <v>0</v>
      </c>
      <c r="L803" s="78"/>
      <c r="M803" s="82"/>
      <c r="N803" s="78"/>
      <c r="O803" s="78"/>
      <c r="P803" s="78"/>
      <c r="Q803" s="78"/>
      <c r="R803" s="78"/>
      <c r="S803" s="78"/>
      <c r="T803" s="83"/>
    </row>
    <row r="804" spans="1:20" ht="15" customHeight="1" x14ac:dyDescent="0.3">
      <c r="A804" s="73"/>
      <c r="B804" s="74"/>
      <c r="C804" s="75"/>
      <c r="D804" s="76"/>
      <c r="E804" s="77"/>
      <c r="F804" s="78"/>
      <c r="G804" s="78"/>
      <c r="H804" s="79"/>
      <c r="I804" s="80"/>
      <c r="J804" s="77"/>
      <c r="K804" s="81" t="b">
        <v>0</v>
      </c>
      <c r="L804" s="78"/>
      <c r="M804" s="82"/>
      <c r="N804" s="78"/>
      <c r="O804" s="78"/>
      <c r="P804" s="78"/>
      <c r="Q804" s="78"/>
      <c r="R804" s="78"/>
      <c r="S804" s="78"/>
      <c r="T804" s="83"/>
    </row>
    <row r="805" spans="1:20" ht="15" customHeight="1" x14ac:dyDescent="0.3">
      <c r="A805" s="73"/>
      <c r="B805" s="74"/>
      <c r="C805" s="75"/>
      <c r="D805" s="76"/>
      <c r="E805" s="77"/>
      <c r="F805" s="78"/>
      <c r="G805" s="78"/>
      <c r="H805" s="79"/>
      <c r="I805" s="80"/>
      <c r="J805" s="77"/>
      <c r="K805" s="81" t="b">
        <v>0</v>
      </c>
      <c r="L805" s="78"/>
      <c r="M805" s="82"/>
      <c r="N805" s="78"/>
      <c r="O805" s="78"/>
      <c r="P805" s="78"/>
      <c r="Q805" s="78"/>
      <c r="R805" s="78"/>
      <c r="S805" s="78"/>
      <c r="T805" s="83"/>
    </row>
    <row r="806" spans="1:20" ht="15" customHeight="1" x14ac:dyDescent="0.3">
      <c r="A806" s="73"/>
      <c r="B806" s="74"/>
      <c r="C806" s="75"/>
      <c r="D806" s="76"/>
      <c r="E806" s="77"/>
      <c r="F806" s="78"/>
      <c r="G806" s="78"/>
      <c r="H806" s="79"/>
      <c r="I806" s="80"/>
      <c r="J806" s="77"/>
      <c r="K806" s="81" t="b">
        <v>0</v>
      </c>
      <c r="L806" s="78"/>
      <c r="M806" s="82"/>
      <c r="N806" s="78"/>
      <c r="O806" s="78"/>
      <c r="P806" s="78"/>
      <c r="Q806" s="78"/>
      <c r="R806" s="78"/>
      <c r="S806" s="78"/>
      <c r="T806" s="83"/>
    </row>
    <row r="807" spans="1:20" ht="15" customHeight="1" x14ac:dyDescent="0.3">
      <c r="A807" s="73"/>
      <c r="B807" s="74"/>
      <c r="C807" s="75"/>
      <c r="D807" s="76"/>
      <c r="E807" s="77"/>
      <c r="F807" s="78"/>
      <c r="G807" s="78"/>
      <c r="H807" s="79"/>
      <c r="I807" s="80"/>
      <c r="J807" s="77"/>
      <c r="K807" s="81" t="b">
        <v>0</v>
      </c>
      <c r="L807" s="78"/>
      <c r="M807" s="82"/>
      <c r="N807" s="78"/>
      <c r="O807" s="78"/>
      <c r="P807" s="78"/>
      <c r="Q807" s="78"/>
      <c r="R807" s="78"/>
      <c r="S807" s="78"/>
      <c r="T807" s="83"/>
    </row>
    <row r="808" spans="1:20" ht="15" customHeight="1" x14ac:dyDescent="0.3">
      <c r="A808" s="73"/>
      <c r="B808" s="74"/>
      <c r="C808" s="75"/>
      <c r="D808" s="76"/>
      <c r="E808" s="77"/>
      <c r="F808" s="78"/>
      <c r="G808" s="78"/>
      <c r="H808" s="79"/>
      <c r="I808" s="80"/>
      <c r="J808" s="77"/>
      <c r="K808" s="81" t="b">
        <v>0</v>
      </c>
      <c r="L808" s="78"/>
      <c r="M808" s="82"/>
      <c r="N808" s="78"/>
      <c r="O808" s="78"/>
      <c r="P808" s="78"/>
      <c r="Q808" s="78"/>
      <c r="R808" s="78"/>
      <c r="S808" s="78"/>
      <c r="T808" s="83"/>
    </row>
    <row r="809" spans="1:20" ht="15" customHeight="1" x14ac:dyDescent="0.3">
      <c r="A809" s="73"/>
      <c r="B809" s="74"/>
      <c r="C809" s="75"/>
      <c r="D809" s="76"/>
      <c r="E809" s="77"/>
      <c r="F809" s="78"/>
      <c r="G809" s="78"/>
      <c r="H809" s="79"/>
      <c r="I809" s="80"/>
      <c r="J809" s="77"/>
      <c r="K809" s="81" t="b">
        <v>0</v>
      </c>
      <c r="L809" s="78"/>
      <c r="M809" s="82"/>
      <c r="N809" s="78"/>
      <c r="O809" s="78"/>
      <c r="P809" s="78"/>
      <c r="Q809" s="78"/>
      <c r="R809" s="78"/>
      <c r="S809" s="78"/>
      <c r="T809" s="83"/>
    </row>
    <row r="810" spans="1:20" ht="15" customHeight="1" x14ac:dyDescent="0.3">
      <c r="A810" s="73"/>
      <c r="B810" s="74"/>
      <c r="C810" s="75"/>
      <c r="D810" s="76"/>
      <c r="E810" s="77"/>
      <c r="F810" s="78"/>
      <c r="G810" s="78"/>
      <c r="H810" s="79"/>
      <c r="I810" s="80"/>
      <c r="J810" s="77"/>
      <c r="K810" s="81" t="b">
        <v>0</v>
      </c>
      <c r="L810" s="78"/>
      <c r="M810" s="82"/>
      <c r="N810" s="78"/>
      <c r="O810" s="78"/>
      <c r="P810" s="78"/>
      <c r="Q810" s="78"/>
      <c r="R810" s="78"/>
      <c r="S810" s="78"/>
      <c r="T810" s="83"/>
    </row>
    <row r="811" spans="1:20" ht="15" customHeight="1" x14ac:dyDescent="0.3">
      <c r="A811" s="73"/>
      <c r="B811" s="74"/>
      <c r="C811" s="75"/>
      <c r="D811" s="76"/>
      <c r="E811" s="77"/>
      <c r="F811" s="78"/>
      <c r="G811" s="78"/>
      <c r="H811" s="79"/>
      <c r="I811" s="80"/>
      <c r="J811" s="77"/>
      <c r="K811" s="81" t="b">
        <v>0</v>
      </c>
      <c r="L811" s="78"/>
      <c r="M811" s="82"/>
      <c r="N811" s="78"/>
      <c r="O811" s="78"/>
      <c r="P811" s="78"/>
      <c r="Q811" s="78"/>
      <c r="R811" s="78"/>
      <c r="S811" s="78"/>
      <c r="T811" s="83"/>
    </row>
    <row r="812" spans="1:20" ht="15" customHeight="1" x14ac:dyDescent="0.3">
      <c r="A812" s="73"/>
      <c r="B812" s="74"/>
      <c r="C812" s="75"/>
      <c r="D812" s="76"/>
      <c r="E812" s="77"/>
      <c r="F812" s="78"/>
      <c r="G812" s="78"/>
      <c r="H812" s="79"/>
      <c r="I812" s="80"/>
      <c r="J812" s="77"/>
      <c r="K812" s="81" t="b">
        <v>0</v>
      </c>
      <c r="L812" s="78"/>
      <c r="M812" s="82"/>
      <c r="N812" s="78"/>
      <c r="O812" s="78"/>
      <c r="P812" s="78"/>
      <c r="Q812" s="78"/>
      <c r="R812" s="78"/>
      <c r="S812" s="78"/>
      <c r="T812" s="83"/>
    </row>
    <row r="813" spans="1:20" ht="15" customHeight="1" x14ac:dyDescent="0.3">
      <c r="A813" s="73"/>
      <c r="B813" s="74"/>
      <c r="C813" s="75"/>
      <c r="D813" s="76"/>
      <c r="E813" s="77"/>
      <c r="F813" s="78"/>
      <c r="G813" s="78"/>
      <c r="H813" s="79"/>
      <c r="I813" s="80"/>
      <c r="J813" s="77"/>
      <c r="K813" s="81" t="b">
        <v>0</v>
      </c>
      <c r="L813" s="78"/>
      <c r="M813" s="82"/>
      <c r="N813" s="78"/>
      <c r="O813" s="78"/>
      <c r="P813" s="78"/>
      <c r="Q813" s="78"/>
      <c r="R813" s="78"/>
      <c r="S813" s="78"/>
      <c r="T813" s="83"/>
    </row>
    <row r="814" spans="1:20" ht="15" customHeight="1" x14ac:dyDescent="0.3">
      <c r="A814" s="73"/>
      <c r="B814" s="74"/>
      <c r="C814" s="75"/>
      <c r="D814" s="76"/>
      <c r="E814" s="77"/>
      <c r="F814" s="78"/>
      <c r="G814" s="78"/>
      <c r="H814" s="79"/>
      <c r="I814" s="80"/>
      <c r="J814" s="77"/>
      <c r="K814" s="81" t="b">
        <v>0</v>
      </c>
      <c r="L814" s="78"/>
      <c r="M814" s="82"/>
      <c r="N814" s="78"/>
      <c r="O814" s="78"/>
      <c r="P814" s="78"/>
      <c r="Q814" s="78"/>
      <c r="R814" s="78"/>
      <c r="S814" s="78"/>
      <c r="T814" s="83"/>
    </row>
    <row r="815" spans="1:20" ht="15" customHeight="1" x14ac:dyDescent="0.3">
      <c r="A815" s="73"/>
      <c r="B815" s="74"/>
      <c r="C815" s="75"/>
      <c r="D815" s="76"/>
      <c r="E815" s="77"/>
      <c r="F815" s="78"/>
      <c r="G815" s="78"/>
      <c r="H815" s="79"/>
      <c r="I815" s="80"/>
      <c r="J815" s="77"/>
      <c r="K815" s="81" t="b">
        <v>0</v>
      </c>
      <c r="L815" s="78"/>
      <c r="M815" s="82"/>
      <c r="N815" s="78"/>
      <c r="O815" s="78"/>
      <c r="P815" s="78"/>
      <c r="Q815" s="78"/>
      <c r="R815" s="78"/>
      <c r="S815" s="78"/>
      <c r="T815" s="83"/>
    </row>
    <row r="816" spans="1:20" ht="15" customHeight="1" x14ac:dyDescent="0.3">
      <c r="A816" s="73"/>
      <c r="B816" s="74"/>
      <c r="C816" s="75"/>
      <c r="D816" s="76"/>
      <c r="E816" s="77"/>
      <c r="F816" s="78"/>
      <c r="G816" s="78"/>
      <c r="H816" s="79"/>
      <c r="I816" s="80"/>
      <c r="J816" s="77"/>
      <c r="K816" s="81" t="b">
        <v>0</v>
      </c>
      <c r="L816" s="78"/>
      <c r="M816" s="82"/>
      <c r="N816" s="78"/>
      <c r="O816" s="78"/>
      <c r="P816" s="78"/>
      <c r="Q816" s="78"/>
      <c r="R816" s="78"/>
      <c r="S816" s="78"/>
      <c r="T816" s="83"/>
    </row>
    <row r="817" spans="1:20" ht="15" customHeight="1" x14ac:dyDescent="0.3">
      <c r="A817" s="73"/>
      <c r="B817" s="74"/>
      <c r="C817" s="75"/>
      <c r="D817" s="76"/>
      <c r="E817" s="77"/>
      <c r="F817" s="78"/>
      <c r="G817" s="78"/>
      <c r="H817" s="79"/>
      <c r="I817" s="80"/>
      <c r="J817" s="77"/>
      <c r="K817" s="81" t="b">
        <v>0</v>
      </c>
      <c r="L817" s="78"/>
      <c r="M817" s="82"/>
      <c r="N817" s="78"/>
      <c r="O817" s="78"/>
      <c r="P817" s="78"/>
      <c r="Q817" s="78"/>
      <c r="R817" s="78"/>
      <c r="S817" s="78"/>
      <c r="T817" s="83"/>
    </row>
    <row r="818" spans="1:20" ht="15" customHeight="1" x14ac:dyDescent="0.3">
      <c r="A818" s="73"/>
      <c r="B818" s="74"/>
      <c r="C818" s="75"/>
      <c r="D818" s="76"/>
      <c r="E818" s="77"/>
      <c r="F818" s="78"/>
      <c r="G818" s="78"/>
      <c r="H818" s="79"/>
      <c r="I818" s="80"/>
      <c r="J818" s="77"/>
      <c r="K818" s="81" t="b">
        <v>0</v>
      </c>
      <c r="L818" s="78"/>
      <c r="M818" s="82"/>
      <c r="N818" s="78"/>
      <c r="O818" s="78"/>
      <c r="P818" s="78"/>
      <c r="Q818" s="78"/>
      <c r="R818" s="78"/>
      <c r="S818" s="78"/>
      <c r="T818" s="83"/>
    </row>
    <row r="819" spans="1:20" ht="15" customHeight="1" x14ac:dyDescent="0.3">
      <c r="A819" s="73"/>
      <c r="B819" s="74"/>
      <c r="C819" s="75"/>
      <c r="D819" s="76"/>
      <c r="E819" s="77"/>
      <c r="F819" s="78"/>
      <c r="G819" s="78"/>
      <c r="H819" s="79"/>
      <c r="I819" s="80"/>
      <c r="J819" s="77"/>
      <c r="K819" s="81" t="b">
        <v>0</v>
      </c>
      <c r="L819" s="78"/>
      <c r="M819" s="82"/>
      <c r="N819" s="78"/>
      <c r="O819" s="78"/>
      <c r="P819" s="78"/>
      <c r="Q819" s="78"/>
      <c r="R819" s="78"/>
      <c r="S819" s="78"/>
      <c r="T819" s="83"/>
    </row>
    <row r="820" spans="1:20" ht="15" customHeight="1" x14ac:dyDescent="0.3">
      <c r="A820" s="73"/>
      <c r="B820" s="74"/>
      <c r="C820" s="75"/>
      <c r="D820" s="76"/>
      <c r="E820" s="77"/>
      <c r="F820" s="78"/>
      <c r="G820" s="78"/>
      <c r="H820" s="79"/>
      <c r="I820" s="80"/>
      <c r="J820" s="77"/>
      <c r="K820" s="81" t="b">
        <v>0</v>
      </c>
      <c r="L820" s="78"/>
      <c r="M820" s="82"/>
      <c r="N820" s="78"/>
      <c r="O820" s="78"/>
      <c r="P820" s="78"/>
      <c r="Q820" s="78"/>
      <c r="R820" s="78"/>
      <c r="S820" s="78"/>
      <c r="T820" s="83"/>
    </row>
    <row r="821" spans="1:20" ht="15" customHeight="1" x14ac:dyDescent="0.3">
      <c r="A821" s="73"/>
      <c r="B821" s="74"/>
      <c r="C821" s="75"/>
      <c r="D821" s="76"/>
      <c r="E821" s="77"/>
      <c r="F821" s="78"/>
      <c r="G821" s="78"/>
      <c r="H821" s="79"/>
      <c r="I821" s="80"/>
      <c r="J821" s="77"/>
      <c r="K821" s="81" t="b">
        <v>0</v>
      </c>
      <c r="L821" s="78"/>
      <c r="M821" s="82"/>
      <c r="N821" s="78"/>
      <c r="O821" s="78"/>
      <c r="P821" s="78"/>
      <c r="Q821" s="78"/>
      <c r="R821" s="78"/>
      <c r="S821" s="78"/>
      <c r="T821" s="83"/>
    </row>
    <row r="822" spans="1:20" ht="15" customHeight="1" x14ac:dyDescent="0.3">
      <c r="A822" s="73"/>
      <c r="B822" s="74"/>
      <c r="C822" s="75"/>
      <c r="D822" s="76"/>
      <c r="E822" s="77"/>
      <c r="F822" s="78"/>
      <c r="G822" s="78"/>
      <c r="H822" s="79"/>
      <c r="I822" s="80"/>
      <c r="J822" s="77"/>
      <c r="K822" s="81" t="b">
        <v>0</v>
      </c>
      <c r="L822" s="78"/>
      <c r="M822" s="82"/>
      <c r="N822" s="78"/>
      <c r="O822" s="78"/>
      <c r="P822" s="78"/>
      <c r="Q822" s="78"/>
      <c r="R822" s="78"/>
      <c r="S822" s="78"/>
      <c r="T822" s="83"/>
    </row>
    <row r="823" spans="1:20" ht="15" customHeight="1" x14ac:dyDescent="0.3">
      <c r="A823" s="73"/>
      <c r="B823" s="74"/>
      <c r="C823" s="75"/>
      <c r="D823" s="76"/>
      <c r="E823" s="77"/>
      <c r="F823" s="78"/>
      <c r="G823" s="78"/>
      <c r="H823" s="79"/>
      <c r="I823" s="80"/>
      <c r="J823" s="77"/>
      <c r="K823" s="81" t="b">
        <v>0</v>
      </c>
      <c r="L823" s="78"/>
      <c r="M823" s="82"/>
      <c r="N823" s="78"/>
      <c r="O823" s="78"/>
      <c r="P823" s="78"/>
      <c r="Q823" s="78"/>
      <c r="R823" s="78"/>
      <c r="S823" s="78"/>
      <c r="T823" s="83"/>
    </row>
    <row r="824" spans="1:20" ht="15" customHeight="1" x14ac:dyDescent="0.3">
      <c r="A824" s="73"/>
      <c r="B824" s="74"/>
      <c r="C824" s="75"/>
      <c r="D824" s="76"/>
      <c r="E824" s="77"/>
      <c r="F824" s="78"/>
      <c r="G824" s="78"/>
      <c r="H824" s="79"/>
      <c r="I824" s="80"/>
      <c r="J824" s="77"/>
      <c r="K824" s="81" t="b">
        <v>0</v>
      </c>
      <c r="L824" s="78"/>
      <c r="M824" s="82"/>
      <c r="N824" s="78"/>
      <c r="O824" s="78"/>
      <c r="P824" s="78"/>
      <c r="Q824" s="78"/>
      <c r="R824" s="78"/>
      <c r="S824" s="78"/>
      <c r="T824" s="83"/>
    </row>
    <row r="825" spans="1:20" ht="15" customHeight="1" x14ac:dyDescent="0.3">
      <c r="A825" s="73"/>
      <c r="B825" s="74"/>
      <c r="C825" s="75"/>
      <c r="D825" s="76"/>
      <c r="E825" s="77"/>
      <c r="F825" s="78"/>
      <c r="G825" s="78"/>
      <c r="H825" s="79"/>
      <c r="I825" s="80"/>
      <c r="J825" s="77"/>
      <c r="K825" s="81" t="b">
        <v>0</v>
      </c>
      <c r="L825" s="78"/>
      <c r="M825" s="82"/>
      <c r="N825" s="78"/>
      <c r="O825" s="78"/>
      <c r="P825" s="78"/>
      <c r="Q825" s="78"/>
      <c r="R825" s="78"/>
      <c r="S825" s="78"/>
      <c r="T825" s="83"/>
    </row>
    <row r="826" spans="1:20" ht="15" customHeight="1" x14ac:dyDescent="0.3">
      <c r="A826" s="73"/>
      <c r="B826" s="74"/>
      <c r="C826" s="75"/>
      <c r="D826" s="76"/>
      <c r="E826" s="77"/>
      <c r="F826" s="78"/>
      <c r="G826" s="78"/>
      <c r="H826" s="79"/>
      <c r="I826" s="80"/>
      <c r="J826" s="77"/>
      <c r="K826" s="81" t="b">
        <v>0</v>
      </c>
      <c r="L826" s="78"/>
      <c r="M826" s="82"/>
      <c r="N826" s="78"/>
      <c r="O826" s="78"/>
      <c r="P826" s="78"/>
      <c r="Q826" s="78"/>
      <c r="R826" s="78"/>
      <c r="S826" s="78"/>
      <c r="T826" s="83"/>
    </row>
    <row r="827" spans="1:20" ht="15" customHeight="1" x14ac:dyDescent="0.3">
      <c r="A827" s="73"/>
      <c r="B827" s="74"/>
      <c r="C827" s="75"/>
      <c r="D827" s="76"/>
      <c r="E827" s="77"/>
      <c r="F827" s="78"/>
      <c r="G827" s="78"/>
      <c r="H827" s="79"/>
      <c r="I827" s="80"/>
      <c r="J827" s="77"/>
      <c r="K827" s="81" t="b">
        <v>0</v>
      </c>
      <c r="L827" s="78"/>
      <c r="M827" s="82"/>
      <c r="N827" s="78"/>
      <c r="O827" s="78"/>
      <c r="P827" s="78"/>
      <c r="Q827" s="78"/>
      <c r="R827" s="78"/>
      <c r="S827" s="78"/>
      <c r="T827" s="83"/>
    </row>
    <row r="828" spans="1:20" ht="15" customHeight="1" x14ac:dyDescent="0.3">
      <c r="A828" s="73"/>
      <c r="B828" s="74"/>
      <c r="C828" s="75"/>
      <c r="D828" s="76"/>
      <c r="E828" s="77"/>
      <c r="F828" s="78"/>
      <c r="G828" s="78"/>
      <c r="H828" s="79"/>
      <c r="I828" s="80"/>
      <c r="J828" s="77"/>
      <c r="K828" s="81" t="b">
        <v>0</v>
      </c>
      <c r="L828" s="78"/>
      <c r="M828" s="82"/>
      <c r="N828" s="78"/>
      <c r="O828" s="78"/>
      <c r="P828" s="78"/>
      <c r="Q828" s="78"/>
      <c r="R828" s="78"/>
      <c r="S828" s="78"/>
      <c r="T828" s="83"/>
    </row>
    <row r="829" spans="1:20" ht="15" customHeight="1" x14ac:dyDescent="0.3">
      <c r="A829" s="73"/>
      <c r="B829" s="74"/>
      <c r="C829" s="75"/>
      <c r="D829" s="76"/>
      <c r="E829" s="77"/>
      <c r="F829" s="78"/>
      <c r="G829" s="78"/>
      <c r="H829" s="79"/>
      <c r="I829" s="80"/>
      <c r="J829" s="77"/>
      <c r="K829" s="81" t="b">
        <v>0</v>
      </c>
      <c r="L829" s="78"/>
      <c r="M829" s="82"/>
      <c r="N829" s="78"/>
      <c r="O829" s="78"/>
      <c r="P829" s="78"/>
      <c r="Q829" s="78"/>
      <c r="R829" s="78"/>
      <c r="S829" s="78"/>
      <c r="T829" s="83"/>
    </row>
    <row r="830" spans="1:20" ht="15" customHeight="1" x14ac:dyDescent="0.3">
      <c r="A830" s="73"/>
      <c r="B830" s="74"/>
      <c r="C830" s="75"/>
      <c r="D830" s="76"/>
      <c r="E830" s="77"/>
      <c r="F830" s="78"/>
      <c r="G830" s="78"/>
      <c r="H830" s="79"/>
      <c r="I830" s="80"/>
      <c r="J830" s="77"/>
      <c r="K830" s="81" t="b">
        <v>0</v>
      </c>
      <c r="L830" s="78"/>
      <c r="M830" s="82"/>
      <c r="N830" s="78"/>
      <c r="O830" s="78"/>
      <c r="P830" s="78"/>
      <c r="Q830" s="78"/>
      <c r="R830" s="78"/>
      <c r="S830" s="78"/>
      <c r="T830" s="83"/>
    </row>
    <row r="831" spans="1:20" ht="15" customHeight="1" x14ac:dyDescent="0.3">
      <c r="A831" s="73"/>
      <c r="B831" s="74"/>
      <c r="C831" s="75"/>
      <c r="D831" s="76"/>
      <c r="E831" s="77"/>
      <c r="F831" s="78"/>
      <c r="G831" s="78"/>
      <c r="H831" s="79"/>
      <c r="I831" s="80"/>
      <c r="J831" s="77"/>
      <c r="K831" s="81" t="b">
        <v>0</v>
      </c>
      <c r="L831" s="78"/>
      <c r="M831" s="82"/>
      <c r="N831" s="78"/>
      <c r="O831" s="78"/>
      <c r="P831" s="78"/>
      <c r="Q831" s="78"/>
      <c r="R831" s="78"/>
      <c r="S831" s="78"/>
      <c r="T831" s="83"/>
    </row>
    <row r="832" spans="1:20" ht="15" customHeight="1" x14ac:dyDescent="0.3">
      <c r="A832" s="73"/>
      <c r="B832" s="74"/>
      <c r="C832" s="75"/>
      <c r="D832" s="76"/>
      <c r="E832" s="77"/>
      <c r="F832" s="78"/>
      <c r="G832" s="78"/>
      <c r="H832" s="79"/>
      <c r="I832" s="80"/>
      <c r="J832" s="77"/>
      <c r="K832" s="81" t="b">
        <v>0</v>
      </c>
      <c r="L832" s="78"/>
      <c r="M832" s="82"/>
      <c r="N832" s="78"/>
      <c r="O832" s="78"/>
      <c r="P832" s="78"/>
      <c r="Q832" s="78"/>
      <c r="R832" s="78"/>
      <c r="S832" s="78"/>
      <c r="T832" s="83"/>
    </row>
    <row r="833" spans="1:20" ht="15" customHeight="1" x14ac:dyDescent="0.3">
      <c r="A833" s="73"/>
      <c r="B833" s="74"/>
      <c r="C833" s="75"/>
      <c r="D833" s="76"/>
      <c r="E833" s="77"/>
      <c r="F833" s="78"/>
      <c r="G833" s="78"/>
      <c r="H833" s="79"/>
      <c r="I833" s="80"/>
      <c r="J833" s="77"/>
      <c r="K833" s="81" t="b">
        <v>0</v>
      </c>
      <c r="L833" s="78"/>
      <c r="M833" s="82"/>
      <c r="N833" s="78"/>
      <c r="O833" s="78"/>
      <c r="P833" s="78"/>
      <c r="Q833" s="78"/>
      <c r="R833" s="78"/>
      <c r="S833" s="78"/>
      <c r="T833" s="83"/>
    </row>
    <row r="834" spans="1:20" ht="15" customHeight="1" x14ac:dyDescent="0.3">
      <c r="A834" s="73"/>
      <c r="B834" s="74"/>
      <c r="C834" s="75"/>
      <c r="D834" s="76"/>
      <c r="E834" s="77"/>
      <c r="F834" s="78"/>
      <c r="G834" s="78"/>
      <c r="H834" s="79"/>
      <c r="I834" s="80"/>
      <c r="J834" s="77"/>
      <c r="K834" s="81" t="b">
        <v>0</v>
      </c>
      <c r="L834" s="78"/>
      <c r="M834" s="82"/>
      <c r="N834" s="78"/>
      <c r="O834" s="78"/>
      <c r="P834" s="78"/>
      <c r="Q834" s="78"/>
      <c r="R834" s="78"/>
      <c r="S834" s="78"/>
      <c r="T834" s="83"/>
    </row>
    <row r="835" spans="1:20" ht="15" customHeight="1" x14ac:dyDescent="0.3">
      <c r="A835" s="73"/>
      <c r="B835" s="74"/>
      <c r="C835" s="75"/>
      <c r="D835" s="76"/>
      <c r="E835" s="77"/>
      <c r="F835" s="78"/>
      <c r="G835" s="78"/>
      <c r="H835" s="79"/>
      <c r="I835" s="80"/>
      <c r="J835" s="77"/>
      <c r="K835" s="81" t="b">
        <v>0</v>
      </c>
      <c r="L835" s="78"/>
      <c r="M835" s="82"/>
      <c r="N835" s="78"/>
      <c r="O835" s="78"/>
      <c r="P835" s="78"/>
      <c r="Q835" s="78"/>
      <c r="R835" s="78"/>
      <c r="S835" s="78"/>
      <c r="T835" s="83"/>
    </row>
    <row r="836" spans="1:20" ht="15" customHeight="1" x14ac:dyDescent="0.3">
      <c r="A836" s="73"/>
      <c r="B836" s="74"/>
      <c r="C836" s="75"/>
      <c r="D836" s="76"/>
      <c r="E836" s="77"/>
      <c r="F836" s="78"/>
      <c r="G836" s="78"/>
      <c r="H836" s="79"/>
      <c r="I836" s="80"/>
      <c r="J836" s="77"/>
      <c r="K836" s="81" t="b">
        <v>0</v>
      </c>
      <c r="L836" s="78"/>
      <c r="M836" s="82"/>
      <c r="N836" s="78"/>
      <c r="O836" s="78"/>
      <c r="P836" s="78"/>
      <c r="Q836" s="78"/>
      <c r="R836" s="78"/>
      <c r="S836" s="78"/>
      <c r="T836" s="83"/>
    </row>
    <row r="837" spans="1:20" ht="15" customHeight="1" x14ac:dyDescent="0.3">
      <c r="A837" s="73"/>
      <c r="B837" s="74"/>
      <c r="C837" s="75"/>
      <c r="D837" s="76"/>
      <c r="E837" s="77"/>
      <c r="F837" s="78"/>
      <c r="G837" s="78"/>
      <c r="H837" s="79"/>
      <c r="I837" s="80"/>
      <c r="J837" s="77"/>
      <c r="K837" s="81" t="b">
        <v>0</v>
      </c>
      <c r="L837" s="78"/>
      <c r="M837" s="82"/>
      <c r="N837" s="78"/>
      <c r="O837" s="78"/>
      <c r="P837" s="78"/>
      <c r="Q837" s="78"/>
      <c r="R837" s="78"/>
      <c r="S837" s="78"/>
      <c r="T837" s="83"/>
    </row>
    <row r="838" spans="1:20" ht="15" customHeight="1" x14ac:dyDescent="0.3">
      <c r="A838" s="73"/>
      <c r="B838" s="74"/>
      <c r="C838" s="75"/>
      <c r="D838" s="76"/>
      <c r="E838" s="77"/>
      <c r="F838" s="78"/>
      <c r="G838" s="78"/>
      <c r="H838" s="79"/>
      <c r="I838" s="80"/>
      <c r="J838" s="77"/>
      <c r="K838" s="81" t="b">
        <v>0</v>
      </c>
      <c r="L838" s="78"/>
      <c r="M838" s="82"/>
      <c r="N838" s="78"/>
      <c r="O838" s="78"/>
      <c r="P838" s="78"/>
      <c r="Q838" s="78"/>
      <c r="R838" s="78"/>
      <c r="S838" s="78"/>
      <c r="T838" s="83"/>
    </row>
    <row r="839" spans="1:20" ht="15" customHeight="1" x14ac:dyDescent="0.3">
      <c r="A839" s="73"/>
      <c r="B839" s="74"/>
      <c r="C839" s="75"/>
      <c r="D839" s="76"/>
      <c r="E839" s="77"/>
      <c r="F839" s="78"/>
      <c r="G839" s="78"/>
      <c r="H839" s="79"/>
      <c r="I839" s="80"/>
      <c r="J839" s="77"/>
      <c r="K839" s="81" t="b">
        <v>0</v>
      </c>
      <c r="L839" s="78"/>
      <c r="M839" s="82"/>
      <c r="N839" s="78"/>
      <c r="O839" s="78"/>
      <c r="P839" s="78"/>
      <c r="Q839" s="78"/>
      <c r="R839" s="78"/>
      <c r="S839" s="78"/>
      <c r="T839" s="83"/>
    </row>
    <row r="840" spans="1:20" ht="15" customHeight="1" x14ac:dyDescent="0.3">
      <c r="A840" s="73"/>
      <c r="B840" s="74"/>
      <c r="C840" s="75"/>
      <c r="D840" s="76"/>
      <c r="E840" s="77"/>
      <c r="F840" s="78"/>
      <c r="G840" s="78"/>
      <c r="H840" s="79"/>
      <c r="I840" s="80"/>
      <c r="J840" s="77"/>
      <c r="K840" s="81" t="b">
        <v>0</v>
      </c>
      <c r="L840" s="78"/>
      <c r="M840" s="82"/>
      <c r="N840" s="78"/>
      <c r="O840" s="78"/>
      <c r="P840" s="78"/>
      <c r="Q840" s="78"/>
      <c r="R840" s="78"/>
      <c r="S840" s="78"/>
      <c r="T840" s="83"/>
    </row>
    <row r="841" spans="1:20" ht="15" customHeight="1" x14ac:dyDescent="0.3">
      <c r="A841" s="73"/>
      <c r="B841" s="74"/>
      <c r="C841" s="75"/>
      <c r="D841" s="76"/>
      <c r="E841" s="77"/>
      <c r="F841" s="78"/>
      <c r="G841" s="78"/>
      <c r="H841" s="79"/>
      <c r="I841" s="80"/>
      <c r="J841" s="77"/>
      <c r="K841" s="81" t="b">
        <v>0</v>
      </c>
      <c r="L841" s="78"/>
      <c r="M841" s="82"/>
      <c r="N841" s="78"/>
      <c r="O841" s="78"/>
      <c r="P841" s="78"/>
      <c r="Q841" s="78"/>
      <c r="R841" s="78"/>
      <c r="S841" s="78"/>
      <c r="T841" s="83"/>
    </row>
    <row r="842" spans="1:20" ht="15" customHeight="1" x14ac:dyDescent="0.3">
      <c r="A842" s="73"/>
      <c r="B842" s="74"/>
      <c r="C842" s="75"/>
      <c r="D842" s="76"/>
      <c r="E842" s="77"/>
      <c r="F842" s="78"/>
      <c r="G842" s="78"/>
      <c r="H842" s="79"/>
      <c r="I842" s="80"/>
      <c r="J842" s="77"/>
      <c r="K842" s="81" t="b">
        <v>0</v>
      </c>
      <c r="L842" s="78"/>
      <c r="M842" s="82"/>
      <c r="N842" s="78"/>
      <c r="O842" s="78"/>
      <c r="P842" s="78"/>
      <c r="Q842" s="78"/>
      <c r="R842" s="78"/>
      <c r="S842" s="78"/>
      <c r="T842" s="83"/>
    </row>
    <row r="843" spans="1:20" ht="15" customHeight="1" x14ac:dyDescent="0.3">
      <c r="A843" s="73"/>
      <c r="B843" s="74"/>
      <c r="C843" s="75"/>
      <c r="D843" s="76"/>
      <c r="E843" s="77"/>
      <c r="F843" s="78"/>
      <c r="G843" s="78"/>
      <c r="H843" s="79"/>
      <c r="I843" s="80"/>
      <c r="J843" s="77"/>
      <c r="K843" s="81" t="b">
        <v>0</v>
      </c>
      <c r="L843" s="78"/>
      <c r="M843" s="82"/>
      <c r="N843" s="78"/>
      <c r="O843" s="78"/>
      <c r="P843" s="78"/>
      <c r="Q843" s="78"/>
      <c r="R843" s="78"/>
      <c r="S843" s="78"/>
      <c r="T843" s="83"/>
    </row>
    <row r="844" spans="1:20" ht="15" customHeight="1" x14ac:dyDescent="0.3">
      <c r="A844" s="73"/>
      <c r="B844" s="74"/>
      <c r="C844" s="75"/>
      <c r="D844" s="76"/>
      <c r="E844" s="77"/>
      <c r="F844" s="78"/>
      <c r="G844" s="78"/>
      <c r="H844" s="79"/>
      <c r="I844" s="80"/>
      <c r="J844" s="77"/>
      <c r="K844" s="81" t="b">
        <v>0</v>
      </c>
      <c r="L844" s="78"/>
      <c r="M844" s="82"/>
      <c r="N844" s="78"/>
      <c r="O844" s="78"/>
      <c r="P844" s="78"/>
      <c r="Q844" s="78"/>
      <c r="R844" s="78"/>
      <c r="S844" s="78"/>
      <c r="T844" s="83"/>
    </row>
    <row r="845" spans="1:20" ht="15" customHeight="1" x14ac:dyDescent="0.3">
      <c r="A845" s="73"/>
      <c r="B845" s="74"/>
      <c r="C845" s="75"/>
      <c r="D845" s="76"/>
      <c r="E845" s="77"/>
      <c r="F845" s="78"/>
      <c r="G845" s="78"/>
      <c r="H845" s="79"/>
      <c r="I845" s="80"/>
      <c r="J845" s="77"/>
      <c r="K845" s="81" t="b">
        <v>0</v>
      </c>
      <c r="L845" s="78"/>
      <c r="M845" s="82"/>
      <c r="N845" s="78"/>
      <c r="O845" s="78"/>
      <c r="P845" s="78"/>
      <c r="Q845" s="78"/>
      <c r="R845" s="78"/>
      <c r="S845" s="78"/>
      <c r="T845" s="83"/>
    </row>
    <row r="846" spans="1:20" ht="15" customHeight="1" x14ac:dyDescent="0.3">
      <c r="A846" s="73"/>
      <c r="B846" s="74"/>
      <c r="C846" s="75"/>
      <c r="D846" s="76"/>
      <c r="E846" s="77"/>
      <c r="F846" s="78"/>
      <c r="G846" s="78"/>
      <c r="H846" s="79"/>
      <c r="I846" s="80"/>
      <c r="J846" s="77"/>
      <c r="K846" s="81" t="b">
        <v>0</v>
      </c>
      <c r="L846" s="78"/>
      <c r="M846" s="82"/>
      <c r="N846" s="78"/>
      <c r="O846" s="78"/>
      <c r="P846" s="78"/>
      <c r="Q846" s="78"/>
      <c r="R846" s="78"/>
      <c r="S846" s="78"/>
      <c r="T846" s="83"/>
    </row>
    <row r="847" spans="1:20" ht="15" customHeight="1" x14ac:dyDescent="0.3">
      <c r="A847" s="73"/>
      <c r="B847" s="74"/>
      <c r="C847" s="75"/>
      <c r="D847" s="76"/>
      <c r="E847" s="77"/>
      <c r="F847" s="78"/>
      <c r="G847" s="78"/>
      <c r="H847" s="79"/>
      <c r="I847" s="80"/>
      <c r="J847" s="77"/>
      <c r="K847" s="81" t="b">
        <v>0</v>
      </c>
      <c r="L847" s="78"/>
      <c r="M847" s="82"/>
      <c r="N847" s="78"/>
      <c r="O847" s="78"/>
      <c r="P847" s="78"/>
      <c r="Q847" s="78"/>
      <c r="R847" s="78"/>
      <c r="S847" s="78"/>
      <c r="T847" s="83"/>
    </row>
    <row r="848" spans="1:20" ht="15" customHeight="1" x14ac:dyDescent="0.3">
      <c r="A848" s="73"/>
      <c r="B848" s="74"/>
      <c r="C848" s="75"/>
      <c r="D848" s="76"/>
      <c r="E848" s="77"/>
      <c r="F848" s="78"/>
      <c r="G848" s="78"/>
      <c r="H848" s="79"/>
      <c r="I848" s="80"/>
      <c r="J848" s="77"/>
      <c r="K848" s="81" t="b">
        <v>0</v>
      </c>
      <c r="L848" s="78"/>
      <c r="M848" s="82"/>
      <c r="N848" s="78"/>
      <c r="O848" s="78"/>
      <c r="P848" s="78"/>
      <c r="Q848" s="78"/>
      <c r="R848" s="78"/>
      <c r="S848" s="78"/>
      <c r="T848" s="83"/>
    </row>
    <row r="849" spans="1:20" ht="15" customHeight="1" x14ac:dyDescent="0.3">
      <c r="A849" s="73"/>
      <c r="B849" s="74"/>
      <c r="C849" s="75"/>
      <c r="D849" s="76"/>
      <c r="E849" s="77"/>
      <c r="F849" s="78"/>
      <c r="G849" s="78"/>
      <c r="H849" s="79"/>
      <c r="I849" s="80"/>
      <c r="J849" s="77"/>
      <c r="K849" s="81" t="b">
        <v>0</v>
      </c>
      <c r="L849" s="78"/>
      <c r="M849" s="82"/>
      <c r="N849" s="78"/>
      <c r="O849" s="78"/>
      <c r="P849" s="78"/>
      <c r="Q849" s="78"/>
      <c r="R849" s="78"/>
      <c r="S849" s="78"/>
      <c r="T849" s="83"/>
    </row>
    <row r="850" spans="1:20" ht="15" customHeight="1" x14ac:dyDescent="0.3">
      <c r="A850" s="73"/>
      <c r="B850" s="74"/>
      <c r="C850" s="75"/>
      <c r="D850" s="76"/>
      <c r="E850" s="77"/>
      <c r="F850" s="78"/>
      <c r="G850" s="78"/>
      <c r="H850" s="79"/>
      <c r="I850" s="80"/>
      <c r="J850" s="77"/>
      <c r="K850" s="81" t="b">
        <v>0</v>
      </c>
      <c r="L850" s="78"/>
      <c r="M850" s="82"/>
      <c r="N850" s="78"/>
      <c r="O850" s="78"/>
      <c r="P850" s="78"/>
      <c r="Q850" s="78"/>
      <c r="R850" s="78"/>
      <c r="S850" s="78"/>
      <c r="T850" s="83"/>
    </row>
    <row r="851" spans="1:20" ht="15" customHeight="1" x14ac:dyDescent="0.3">
      <c r="A851" s="73"/>
      <c r="B851" s="74"/>
      <c r="C851" s="75"/>
      <c r="D851" s="76"/>
      <c r="E851" s="77"/>
      <c r="F851" s="78"/>
      <c r="G851" s="78"/>
      <c r="H851" s="79"/>
      <c r="I851" s="80"/>
      <c r="J851" s="77"/>
      <c r="K851" s="81" t="b">
        <v>0</v>
      </c>
      <c r="L851" s="78"/>
      <c r="M851" s="82"/>
      <c r="N851" s="78"/>
      <c r="O851" s="78"/>
      <c r="P851" s="78"/>
      <c r="Q851" s="78"/>
      <c r="R851" s="78"/>
      <c r="S851" s="78"/>
      <c r="T851" s="83"/>
    </row>
    <row r="852" spans="1:20" ht="15" customHeight="1" x14ac:dyDescent="0.3">
      <c r="A852" s="73"/>
      <c r="B852" s="74"/>
      <c r="C852" s="75"/>
      <c r="D852" s="76"/>
      <c r="E852" s="77"/>
      <c r="F852" s="78"/>
      <c r="G852" s="78"/>
      <c r="H852" s="79"/>
      <c r="I852" s="80"/>
      <c r="J852" s="77"/>
      <c r="K852" s="81" t="b">
        <v>0</v>
      </c>
      <c r="L852" s="78"/>
      <c r="M852" s="82"/>
      <c r="N852" s="78"/>
      <c r="O852" s="78"/>
      <c r="P852" s="78"/>
      <c r="Q852" s="78"/>
      <c r="R852" s="78"/>
      <c r="S852" s="78"/>
      <c r="T852" s="83"/>
    </row>
    <row r="853" spans="1:20" ht="15" customHeight="1" x14ac:dyDescent="0.3">
      <c r="A853" s="73"/>
      <c r="B853" s="74"/>
      <c r="C853" s="75"/>
      <c r="D853" s="76"/>
      <c r="E853" s="77"/>
      <c r="F853" s="78"/>
      <c r="G853" s="78"/>
      <c r="H853" s="79"/>
      <c r="I853" s="80"/>
      <c r="J853" s="77"/>
      <c r="K853" s="81" t="b">
        <v>0</v>
      </c>
      <c r="L853" s="78"/>
      <c r="M853" s="82"/>
      <c r="N853" s="78"/>
      <c r="O853" s="78"/>
      <c r="P853" s="78"/>
      <c r="Q853" s="78"/>
      <c r="R853" s="78"/>
      <c r="S853" s="78"/>
      <c r="T853" s="83"/>
    </row>
    <row r="854" spans="1:20" ht="15" customHeight="1" x14ac:dyDescent="0.3">
      <c r="A854" s="73"/>
      <c r="B854" s="74"/>
      <c r="C854" s="75"/>
      <c r="D854" s="76"/>
      <c r="E854" s="77"/>
      <c r="F854" s="78"/>
      <c r="G854" s="78"/>
      <c r="H854" s="79"/>
      <c r="I854" s="80"/>
      <c r="J854" s="77"/>
      <c r="K854" s="81" t="b">
        <v>0</v>
      </c>
      <c r="L854" s="78"/>
      <c r="M854" s="82"/>
      <c r="N854" s="78"/>
      <c r="O854" s="78"/>
      <c r="P854" s="78"/>
      <c r="Q854" s="78"/>
      <c r="R854" s="78"/>
      <c r="S854" s="78"/>
      <c r="T854" s="83"/>
    </row>
    <row r="855" spans="1:20" ht="15" customHeight="1" x14ac:dyDescent="0.3">
      <c r="A855" s="73"/>
      <c r="B855" s="74"/>
      <c r="C855" s="75"/>
      <c r="D855" s="76"/>
      <c r="E855" s="77"/>
      <c r="F855" s="78"/>
      <c r="G855" s="78"/>
      <c r="H855" s="79"/>
      <c r="I855" s="80"/>
      <c r="J855" s="77"/>
      <c r="K855" s="81" t="b">
        <v>0</v>
      </c>
      <c r="L855" s="78"/>
      <c r="M855" s="82"/>
      <c r="N855" s="78"/>
      <c r="O855" s="78"/>
      <c r="P855" s="78"/>
      <c r="Q855" s="78"/>
      <c r="R855" s="78"/>
      <c r="S855" s="78"/>
      <c r="T855" s="83"/>
    </row>
    <row r="856" spans="1:20" ht="15" customHeight="1" x14ac:dyDescent="0.3">
      <c r="A856" s="73"/>
      <c r="B856" s="74"/>
      <c r="C856" s="75"/>
      <c r="D856" s="76"/>
      <c r="E856" s="77"/>
      <c r="F856" s="78"/>
      <c r="G856" s="78"/>
      <c r="H856" s="79"/>
      <c r="I856" s="80"/>
      <c r="J856" s="77"/>
      <c r="K856" s="81" t="b">
        <v>0</v>
      </c>
      <c r="L856" s="78"/>
      <c r="M856" s="82"/>
      <c r="N856" s="78"/>
      <c r="O856" s="78"/>
      <c r="P856" s="78"/>
      <c r="Q856" s="78"/>
      <c r="R856" s="78"/>
      <c r="S856" s="78"/>
      <c r="T856" s="83"/>
    </row>
    <row r="857" spans="1:20" ht="15" customHeight="1" x14ac:dyDescent="0.3">
      <c r="A857" s="73"/>
      <c r="B857" s="74"/>
      <c r="C857" s="75"/>
      <c r="D857" s="76"/>
      <c r="E857" s="77"/>
      <c r="F857" s="78"/>
      <c r="G857" s="78"/>
      <c r="H857" s="79"/>
      <c r="I857" s="80"/>
      <c r="J857" s="77"/>
      <c r="K857" s="81" t="b">
        <v>0</v>
      </c>
      <c r="L857" s="78"/>
      <c r="M857" s="82"/>
      <c r="N857" s="78"/>
      <c r="O857" s="78"/>
      <c r="P857" s="78"/>
      <c r="Q857" s="78"/>
      <c r="R857" s="78"/>
      <c r="S857" s="78"/>
      <c r="T857" s="83"/>
    </row>
    <row r="858" spans="1:20" ht="15" customHeight="1" x14ac:dyDescent="0.3">
      <c r="A858" s="73"/>
      <c r="B858" s="74"/>
      <c r="C858" s="75"/>
      <c r="D858" s="76"/>
      <c r="E858" s="77"/>
      <c r="F858" s="78"/>
      <c r="G858" s="78"/>
      <c r="H858" s="79"/>
      <c r="I858" s="80"/>
      <c r="J858" s="77"/>
      <c r="K858" s="81" t="b">
        <v>0</v>
      </c>
      <c r="L858" s="78"/>
      <c r="M858" s="82"/>
      <c r="N858" s="78"/>
      <c r="O858" s="78"/>
      <c r="P858" s="78"/>
      <c r="Q858" s="78"/>
      <c r="R858" s="78"/>
      <c r="S858" s="78"/>
      <c r="T858" s="83"/>
    </row>
    <row r="859" spans="1:20" ht="15" customHeight="1" x14ac:dyDescent="0.3">
      <c r="A859" s="73"/>
      <c r="B859" s="74"/>
      <c r="C859" s="75"/>
      <c r="D859" s="76"/>
      <c r="E859" s="77"/>
      <c r="F859" s="78"/>
      <c r="G859" s="78"/>
      <c r="H859" s="79"/>
      <c r="I859" s="80"/>
      <c r="J859" s="77"/>
      <c r="K859" s="81" t="b">
        <v>0</v>
      </c>
      <c r="L859" s="78"/>
      <c r="M859" s="82"/>
      <c r="N859" s="78"/>
      <c r="O859" s="78"/>
      <c r="P859" s="78"/>
      <c r="Q859" s="78"/>
      <c r="R859" s="78"/>
      <c r="S859" s="78"/>
      <c r="T859" s="83"/>
    </row>
    <row r="860" spans="1:20" ht="15" customHeight="1" x14ac:dyDescent="0.3">
      <c r="A860" s="73"/>
      <c r="B860" s="74"/>
      <c r="C860" s="75"/>
      <c r="D860" s="76"/>
      <c r="E860" s="77"/>
      <c r="F860" s="78"/>
      <c r="G860" s="78"/>
      <c r="H860" s="79"/>
      <c r="I860" s="80"/>
      <c r="J860" s="77"/>
      <c r="K860" s="81" t="b">
        <v>0</v>
      </c>
      <c r="L860" s="78"/>
      <c r="M860" s="82"/>
      <c r="N860" s="78"/>
      <c r="O860" s="78"/>
      <c r="P860" s="78"/>
      <c r="Q860" s="78"/>
      <c r="R860" s="78"/>
      <c r="S860" s="78"/>
      <c r="T860" s="83"/>
    </row>
    <row r="861" spans="1:20" ht="15" customHeight="1" x14ac:dyDescent="0.3">
      <c r="A861" s="73"/>
      <c r="B861" s="74"/>
      <c r="C861" s="75"/>
      <c r="D861" s="76"/>
      <c r="E861" s="77"/>
      <c r="F861" s="78"/>
      <c r="G861" s="78"/>
      <c r="H861" s="79"/>
      <c r="I861" s="80"/>
      <c r="J861" s="77"/>
      <c r="K861" s="81" t="b">
        <v>0</v>
      </c>
      <c r="L861" s="78"/>
      <c r="M861" s="82"/>
      <c r="N861" s="78"/>
      <c r="O861" s="78"/>
      <c r="P861" s="78"/>
      <c r="Q861" s="78"/>
      <c r="R861" s="78"/>
      <c r="S861" s="78"/>
      <c r="T861" s="83"/>
    </row>
    <row r="862" spans="1:20" ht="15" customHeight="1" x14ac:dyDescent="0.3">
      <c r="A862" s="73"/>
      <c r="B862" s="74"/>
      <c r="C862" s="75"/>
      <c r="D862" s="76"/>
      <c r="E862" s="77"/>
      <c r="F862" s="78"/>
      <c r="G862" s="78"/>
      <c r="H862" s="79"/>
      <c r="I862" s="80"/>
      <c r="J862" s="77"/>
      <c r="K862" s="81" t="b">
        <v>0</v>
      </c>
      <c r="L862" s="78"/>
      <c r="M862" s="82"/>
      <c r="N862" s="78"/>
      <c r="O862" s="78"/>
      <c r="P862" s="78"/>
      <c r="Q862" s="78"/>
      <c r="R862" s="78"/>
      <c r="S862" s="78"/>
      <c r="T862" s="83"/>
    </row>
    <row r="863" spans="1:20" ht="15" customHeight="1" x14ac:dyDescent="0.3">
      <c r="A863" s="73"/>
      <c r="B863" s="74"/>
      <c r="C863" s="75"/>
      <c r="D863" s="76"/>
      <c r="E863" s="77"/>
      <c r="F863" s="78"/>
      <c r="G863" s="78"/>
      <c r="H863" s="79"/>
      <c r="I863" s="80"/>
      <c r="J863" s="77"/>
      <c r="K863" s="81" t="b">
        <v>0</v>
      </c>
      <c r="L863" s="78"/>
      <c r="M863" s="82"/>
      <c r="N863" s="78"/>
      <c r="O863" s="78"/>
      <c r="P863" s="78"/>
      <c r="Q863" s="78"/>
      <c r="R863" s="78"/>
      <c r="S863" s="78"/>
      <c r="T863" s="83"/>
    </row>
    <row r="864" spans="1:20" ht="15" customHeight="1" x14ac:dyDescent="0.3">
      <c r="A864" s="73"/>
      <c r="B864" s="74"/>
      <c r="C864" s="75"/>
      <c r="D864" s="76"/>
      <c r="E864" s="77"/>
      <c r="F864" s="78"/>
      <c r="G864" s="78"/>
      <c r="H864" s="79"/>
      <c r="I864" s="80"/>
      <c r="J864" s="77"/>
      <c r="K864" s="81" t="b">
        <v>0</v>
      </c>
      <c r="L864" s="78"/>
      <c r="M864" s="82"/>
      <c r="N864" s="78"/>
      <c r="O864" s="78"/>
      <c r="P864" s="78"/>
      <c r="Q864" s="78"/>
      <c r="R864" s="78"/>
      <c r="S864" s="78"/>
      <c r="T864" s="83"/>
    </row>
    <row r="865" spans="1:20" ht="15" customHeight="1" x14ac:dyDescent="0.3">
      <c r="A865" s="73"/>
      <c r="B865" s="74"/>
      <c r="C865" s="75"/>
      <c r="D865" s="76"/>
      <c r="E865" s="77"/>
      <c r="F865" s="78"/>
      <c r="G865" s="78"/>
      <c r="H865" s="79"/>
      <c r="I865" s="80"/>
      <c r="J865" s="77"/>
      <c r="K865" s="81" t="b">
        <v>0</v>
      </c>
      <c r="L865" s="78"/>
      <c r="M865" s="82"/>
      <c r="N865" s="78"/>
      <c r="O865" s="78"/>
      <c r="P865" s="78"/>
      <c r="Q865" s="78"/>
      <c r="R865" s="78"/>
      <c r="S865" s="78"/>
      <c r="T865" s="83"/>
    </row>
    <row r="866" spans="1:20" ht="15" customHeight="1" x14ac:dyDescent="0.3">
      <c r="A866" s="73"/>
      <c r="B866" s="74"/>
      <c r="C866" s="75"/>
      <c r="D866" s="76"/>
      <c r="E866" s="77"/>
      <c r="F866" s="78"/>
      <c r="G866" s="78"/>
      <c r="H866" s="79"/>
      <c r="I866" s="80"/>
      <c r="J866" s="77"/>
      <c r="K866" s="81" t="b">
        <v>0</v>
      </c>
      <c r="L866" s="78"/>
      <c r="M866" s="82"/>
      <c r="N866" s="78"/>
      <c r="O866" s="78"/>
      <c r="P866" s="78"/>
      <c r="Q866" s="78"/>
      <c r="R866" s="78"/>
      <c r="S866" s="78"/>
      <c r="T866" s="83"/>
    </row>
    <row r="867" spans="1:20" ht="15" customHeight="1" x14ac:dyDescent="0.3">
      <c r="A867" s="73"/>
      <c r="B867" s="74"/>
      <c r="C867" s="75"/>
      <c r="D867" s="76"/>
      <c r="E867" s="77"/>
      <c r="F867" s="78"/>
      <c r="G867" s="78"/>
      <c r="H867" s="79"/>
      <c r="I867" s="80"/>
      <c r="J867" s="77"/>
      <c r="K867" s="81" t="b">
        <v>0</v>
      </c>
      <c r="L867" s="78"/>
      <c r="M867" s="82"/>
      <c r="N867" s="78"/>
      <c r="O867" s="78"/>
      <c r="P867" s="78"/>
      <c r="Q867" s="78"/>
      <c r="R867" s="78"/>
      <c r="S867" s="78"/>
      <c r="T867" s="83"/>
    </row>
    <row r="868" spans="1:20" ht="15" customHeight="1" x14ac:dyDescent="0.3">
      <c r="A868" s="73"/>
      <c r="B868" s="74"/>
      <c r="C868" s="75"/>
      <c r="D868" s="76"/>
      <c r="E868" s="77"/>
      <c r="F868" s="78"/>
      <c r="G868" s="78"/>
      <c r="H868" s="79"/>
      <c r="I868" s="80"/>
      <c r="J868" s="77"/>
      <c r="K868" s="81" t="b">
        <v>0</v>
      </c>
      <c r="L868" s="78"/>
      <c r="M868" s="82"/>
      <c r="N868" s="78"/>
      <c r="O868" s="78"/>
      <c r="P868" s="78"/>
      <c r="Q868" s="78"/>
      <c r="R868" s="78"/>
      <c r="S868" s="78"/>
      <c r="T868" s="83"/>
    </row>
    <row r="869" spans="1:20" ht="15" customHeight="1" x14ac:dyDescent="0.3">
      <c r="A869" s="73"/>
      <c r="B869" s="74"/>
      <c r="C869" s="75"/>
      <c r="D869" s="76"/>
      <c r="E869" s="77"/>
      <c r="F869" s="78"/>
      <c r="G869" s="78"/>
      <c r="H869" s="79"/>
      <c r="I869" s="80"/>
      <c r="J869" s="77"/>
      <c r="K869" s="81" t="b">
        <v>0</v>
      </c>
      <c r="L869" s="78"/>
      <c r="M869" s="82"/>
      <c r="N869" s="78"/>
      <c r="O869" s="78"/>
      <c r="P869" s="78"/>
      <c r="Q869" s="78"/>
      <c r="R869" s="78"/>
      <c r="S869" s="78"/>
      <c r="T869" s="83"/>
    </row>
    <row r="870" spans="1:20" ht="15" customHeight="1" x14ac:dyDescent="0.3">
      <c r="A870" s="73"/>
      <c r="B870" s="74"/>
      <c r="C870" s="75"/>
      <c r="D870" s="76"/>
      <c r="E870" s="77"/>
      <c r="F870" s="78"/>
      <c r="G870" s="78"/>
      <c r="H870" s="79"/>
      <c r="I870" s="80"/>
      <c r="J870" s="77"/>
      <c r="K870" s="81" t="b">
        <v>0</v>
      </c>
      <c r="L870" s="78"/>
      <c r="M870" s="82"/>
      <c r="N870" s="78"/>
      <c r="O870" s="78"/>
      <c r="P870" s="78"/>
      <c r="Q870" s="78"/>
      <c r="R870" s="78"/>
      <c r="S870" s="78"/>
      <c r="T870" s="83"/>
    </row>
    <row r="871" spans="1:20" ht="15" customHeight="1" x14ac:dyDescent="0.3">
      <c r="A871" s="73"/>
      <c r="B871" s="74"/>
      <c r="C871" s="75"/>
      <c r="D871" s="76"/>
      <c r="E871" s="77"/>
      <c r="F871" s="78"/>
      <c r="G871" s="78"/>
      <c r="H871" s="79"/>
      <c r="I871" s="80"/>
      <c r="J871" s="77"/>
      <c r="K871" s="81" t="b">
        <v>0</v>
      </c>
      <c r="L871" s="78"/>
      <c r="M871" s="82"/>
      <c r="N871" s="78"/>
      <c r="O871" s="78"/>
      <c r="P871" s="78"/>
      <c r="Q871" s="78"/>
      <c r="R871" s="78"/>
      <c r="S871" s="78"/>
      <c r="T871" s="83"/>
    </row>
    <row r="872" spans="1:20" ht="15" customHeight="1" x14ac:dyDescent="0.3">
      <c r="A872" s="73"/>
      <c r="B872" s="74"/>
      <c r="C872" s="75"/>
      <c r="D872" s="76"/>
      <c r="E872" s="77"/>
      <c r="F872" s="78"/>
      <c r="G872" s="78"/>
      <c r="H872" s="79"/>
      <c r="I872" s="80"/>
      <c r="J872" s="77"/>
      <c r="K872" s="81" t="b">
        <v>0</v>
      </c>
      <c r="L872" s="78"/>
      <c r="M872" s="82"/>
      <c r="N872" s="78"/>
      <c r="O872" s="78"/>
      <c r="P872" s="78"/>
      <c r="Q872" s="78"/>
      <c r="R872" s="78"/>
      <c r="S872" s="78"/>
      <c r="T872" s="83"/>
    </row>
    <row r="873" spans="1:20" ht="15" customHeight="1" x14ac:dyDescent="0.3">
      <c r="A873" s="73"/>
      <c r="B873" s="74"/>
      <c r="C873" s="75"/>
      <c r="D873" s="76"/>
      <c r="E873" s="77"/>
      <c r="F873" s="78"/>
      <c r="G873" s="78"/>
      <c r="H873" s="79"/>
      <c r="I873" s="80"/>
      <c r="J873" s="77"/>
      <c r="K873" s="81" t="b">
        <v>0</v>
      </c>
      <c r="L873" s="78"/>
      <c r="M873" s="82"/>
      <c r="N873" s="78"/>
      <c r="O873" s="78"/>
      <c r="P873" s="78"/>
      <c r="Q873" s="78"/>
      <c r="R873" s="78"/>
      <c r="S873" s="78"/>
      <c r="T873" s="83"/>
    </row>
    <row r="874" spans="1:20" ht="15" customHeight="1" x14ac:dyDescent="0.3">
      <c r="A874" s="73"/>
      <c r="B874" s="74"/>
      <c r="C874" s="75"/>
      <c r="D874" s="76"/>
      <c r="E874" s="77"/>
      <c r="F874" s="78"/>
      <c r="G874" s="78"/>
      <c r="H874" s="79"/>
      <c r="I874" s="80"/>
      <c r="J874" s="77"/>
      <c r="K874" s="81" t="b">
        <v>0</v>
      </c>
      <c r="L874" s="78"/>
      <c r="M874" s="82"/>
      <c r="N874" s="78"/>
      <c r="O874" s="78"/>
      <c r="P874" s="78"/>
      <c r="Q874" s="78"/>
      <c r="R874" s="78"/>
      <c r="S874" s="78"/>
      <c r="T874" s="83"/>
    </row>
    <row r="875" spans="1:20" ht="15" customHeight="1" x14ac:dyDescent="0.3">
      <c r="A875" s="73"/>
      <c r="B875" s="74"/>
      <c r="C875" s="75"/>
      <c r="D875" s="76"/>
      <c r="E875" s="77"/>
      <c r="F875" s="78"/>
      <c r="G875" s="78"/>
      <c r="H875" s="79"/>
      <c r="I875" s="80"/>
      <c r="J875" s="77"/>
      <c r="K875" s="81" t="b">
        <v>0</v>
      </c>
      <c r="L875" s="78"/>
      <c r="M875" s="82"/>
      <c r="N875" s="78"/>
      <c r="O875" s="78"/>
      <c r="P875" s="78"/>
      <c r="Q875" s="78"/>
      <c r="R875" s="78"/>
      <c r="S875" s="78"/>
      <c r="T875" s="83"/>
    </row>
    <row r="876" spans="1:20" ht="15" customHeight="1" x14ac:dyDescent="0.3">
      <c r="A876" s="73"/>
      <c r="B876" s="74"/>
      <c r="C876" s="75"/>
      <c r="D876" s="76"/>
      <c r="E876" s="77"/>
      <c r="F876" s="78"/>
      <c r="G876" s="78"/>
      <c r="H876" s="79"/>
      <c r="I876" s="80"/>
      <c r="J876" s="77"/>
      <c r="K876" s="81" t="b">
        <v>0</v>
      </c>
      <c r="L876" s="78"/>
      <c r="M876" s="82"/>
      <c r="N876" s="78"/>
      <c r="O876" s="78"/>
      <c r="P876" s="78"/>
      <c r="Q876" s="78"/>
      <c r="R876" s="78"/>
      <c r="S876" s="78"/>
      <c r="T876" s="83"/>
    </row>
    <row r="877" spans="1:20" ht="15" customHeight="1" x14ac:dyDescent="0.3">
      <c r="A877" s="73"/>
      <c r="B877" s="74"/>
      <c r="C877" s="75"/>
      <c r="D877" s="76"/>
      <c r="E877" s="77"/>
      <c r="F877" s="78"/>
      <c r="G877" s="78"/>
      <c r="H877" s="79"/>
      <c r="I877" s="80"/>
      <c r="J877" s="77"/>
      <c r="K877" s="81" t="b">
        <v>0</v>
      </c>
      <c r="L877" s="78"/>
      <c r="M877" s="82"/>
      <c r="N877" s="78"/>
      <c r="O877" s="78"/>
      <c r="P877" s="78"/>
      <c r="Q877" s="78"/>
      <c r="R877" s="78"/>
      <c r="S877" s="78"/>
      <c r="T877" s="83"/>
    </row>
    <row r="878" spans="1:20" ht="15" customHeight="1" x14ac:dyDescent="0.3">
      <c r="A878" s="73"/>
      <c r="B878" s="74"/>
      <c r="C878" s="75"/>
      <c r="D878" s="76"/>
      <c r="E878" s="77"/>
      <c r="F878" s="78"/>
      <c r="G878" s="78"/>
      <c r="H878" s="79"/>
      <c r="I878" s="80"/>
      <c r="J878" s="77"/>
      <c r="K878" s="81" t="b">
        <v>0</v>
      </c>
      <c r="L878" s="78"/>
      <c r="M878" s="82"/>
      <c r="N878" s="78"/>
      <c r="O878" s="78"/>
      <c r="P878" s="78"/>
      <c r="Q878" s="78"/>
      <c r="R878" s="78"/>
      <c r="S878" s="78"/>
      <c r="T878" s="83"/>
    </row>
    <row r="879" spans="1:20" ht="15" customHeight="1" x14ac:dyDescent="0.3">
      <c r="A879" s="73"/>
      <c r="B879" s="74"/>
      <c r="C879" s="75"/>
      <c r="D879" s="76"/>
      <c r="E879" s="77"/>
      <c r="F879" s="78"/>
      <c r="G879" s="78"/>
      <c r="H879" s="79"/>
      <c r="I879" s="80"/>
      <c r="J879" s="77"/>
      <c r="K879" s="81" t="b">
        <v>0</v>
      </c>
      <c r="L879" s="78"/>
      <c r="M879" s="82"/>
      <c r="N879" s="78"/>
      <c r="O879" s="78"/>
      <c r="P879" s="78"/>
      <c r="Q879" s="78"/>
      <c r="R879" s="78"/>
      <c r="S879" s="78"/>
      <c r="T879" s="83"/>
    </row>
    <row r="880" spans="1:20" ht="15" customHeight="1" x14ac:dyDescent="0.3">
      <c r="A880" s="73"/>
      <c r="B880" s="74"/>
      <c r="C880" s="75"/>
      <c r="D880" s="76"/>
      <c r="E880" s="77"/>
      <c r="F880" s="78"/>
      <c r="G880" s="78"/>
      <c r="H880" s="79"/>
      <c r="I880" s="80"/>
      <c r="J880" s="77"/>
      <c r="K880" s="81" t="b">
        <v>0</v>
      </c>
      <c r="L880" s="78"/>
      <c r="M880" s="82"/>
      <c r="N880" s="78"/>
      <c r="O880" s="78"/>
      <c r="P880" s="78"/>
      <c r="Q880" s="78"/>
      <c r="R880" s="78"/>
      <c r="S880" s="78"/>
      <c r="T880" s="83"/>
    </row>
    <row r="881" spans="1:20" ht="15" customHeight="1" x14ac:dyDescent="0.3">
      <c r="A881" s="73"/>
      <c r="B881" s="74"/>
      <c r="C881" s="75"/>
      <c r="D881" s="76"/>
      <c r="E881" s="77"/>
      <c r="F881" s="78"/>
      <c r="G881" s="78"/>
      <c r="H881" s="79"/>
      <c r="I881" s="80"/>
      <c r="J881" s="77"/>
      <c r="K881" s="81" t="b">
        <v>0</v>
      </c>
      <c r="L881" s="78"/>
      <c r="M881" s="82"/>
      <c r="N881" s="78"/>
      <c r="O881" s="78"/>
      <c r="P881" s="78"/>
      <c r="Q881" s="78"/>
      <c r="R881" s="78"/>
      <c r="S881" s="78"/>
      <c r="T881" s="83"/>
    </row>
    <row r="882" spans="1:20" ht="15" customHeight="1" x14ac:dyDescent="0.3">
      <c r="A882" s="73"/>
      <c r="B882" s="74"/>
      <c r="C882" s="75"/>
      <c r="D882" s="76"/>
      <c r="E882" s="77"/>
      <c r="F882" s="78"/>
      <c r="G882" s="78"/>
      <c r="H882" s="79"/>
      <c r="I882" s="80"/>
      <c r="J882" s="77"/>
      <c r="K882" s="81" t="b">
        <v>0</v>
      </c>
      <c r="L882" s="78"/>
      <c r="M882" s="82"/>
      <c r="N882" s="78"/>
      <c r="O882" s="78"/>
      <c r="P882" s="78"/>
      <c r="Q882" s="78"/>
      <c r="R882" s="78"/>
      <c r="S882" s="78"/>
      <c r="T882" s="83"/>
    </row>
    <row r="883" spans="1:20" ht="15" customHeight="1" x14ac:dyDescent="0.3">
      <c r="A883" s="73"/>
      <c r="B883" s="74"/>
      <c r="C883" s="75"/>
      <c r="D883" s="76"/>
      <c r="E883" s="77"/>
      <c r="F883" s="78"/>
      <c r="G883" s="78"/>
      <c r="H883" s="79"/>
      <c r="I883" s="80"/>
      <c r="J883" s="77"/>
      <c r="K883" s="81" t="b">
        <v>0</v>
      </c>
      <c r="L883" s="78"/>
      <c r="M883" s="82"/>
      <c r="N883" s="78"/>
      <c r="O883" s="78"/>
      <c r="P883" s="78"/>
      <c r="Q883" s="78"/>
      <c r="R883" s="78"/>
      <c r="S883" s="78"/>
      <c r="T883" s="83"/>
    </row>
    <row r="884" spans="1:20" ht="15" customHeight="1" x14ac:dyDescent="0.3">
      <c r="A884" s="73"/>
      <c r="B884" s="74"/>
      <c r="C884" s="75"/>
      <c r="D884" s="76"/>
      <c r="E884" s="77"/>
      <c r="F884" s="78"/>
      <c r="G884" s="78"/>
      <c r="H884" s="79"/>
      <c r="I884" s="80"/>
      <c r="J884" s="77"/>
      <c r="K884" s="81" t="b">
        <v>0</v>
      </c>
      <c r="L884" s="78"/>
      <c r="M884" s="82"/>
      <c r="N884" s="78"/>
      <c r="O884" s="78"/>
      <c r="P884" s="78"/>
      <c r="Q884" s="78"/>
      <c r="R884" s="78"/>
      <c r="S884" s="78"/>
      <c r="T884" s="83"/>
    </row>
    <row r="885" spans="1:20" ht="15" customHeight="1" x14ac:dyDescent="0.3">
      <c r="A885" s="73"/>
      <c r="B885" s="74"/>
      <c r="C885" s="75"/>
      <c r="D885" s="76"/>
      <c r="E885" s="77"/>
      <c r="F885" s="78"/>
      <c r="G885" s="78"/>
      <c r="H885" s="79"/>
      <c r="I885" s="80"/>
      <c r="J885" s="77"/>
      <c r="K885" s="81" t="b">
        <v>0</v>
      </c>
      <c r="L885" s="78"/>
      <c r="M885" s="82"/>
      <c r="N885" s="78"/>
      <c r="O885" s="78"/>
      <c r="P885" s="78"/>
      <c r="Q885" s="78"/>
      <c r="R885" s="78"/>
      <c r="S885" s="78"/>
      <c r="T885" s="83"/>
    </row>
    <row r="886" spans="1:20" ht="15" customHeight="1" x14ac:dyDescent="0.3">
      <c r="A886" s="73"/>
      <c r="B886" s="74"/>
      <c r="C886" s="75"/>
      <c r="D886" s="76"/>
      <c r="E886" s="77"/>
      <c r="F886" s="78"/>
      <c r="G886" s="78"/>
      <c r="H886" s="79"/>
      <c r="I886" s="80"/>
      <c r="J886" s="77"/>
      <c r="K886" s="81" t="b">
        <v>0</v>
      </c>
      <c r="L886" s="78"/>
      <c r="M886" s="82"/>
      <c r="N886" s="78"/>
      <c r="O886" s="78"/>
      <c r="P886" s="78"/>
      <c r="Q886" s="78"/>
      <c r="R886" s="78"/>
      <c r="S886" s="78"/>
      <c r="T886" s="83"/>
    </row>
    <row r="887" spans="1:20" ht="15" customHeight="1" x14ac:dyDescent="0.3">
      <c r="A887" s="73"/>
      <c r="B887" s="74"/>
      <c r="C887" s="75"/>
      <c r="D887" s="76"/>
      <c r="E887" s="77"/>
      <c r="F887" s="78"/>
      <c r="G887" s="78"/>
      <c r="H887" s="79"/>
      <c r="I887" s="80"/>
      <c r="J887" s="77"/>
      <c r="K887" s="81" t="b">
        <v>0</v>
      </c>
      <c r="L887" s="78"/>
      <c r="M887" s="82"/>
      <c r="N887" s="78"/>
      <c r="O887" s="78"/>
      <c r="P887" s="78"/>
      <c r="Q887" s="78"/>
      <c r="R887" s="78"/>
      <c r="S887" s="78"/>
      <c r="T887" s="83"/>
    </row>
    <row r="888" spans="1:20" ht="15" customHeight="1" x14ac:dyDescent="0.3">
      <c r="A888" s="73"/>
      <c r="B888" s="74"/>
      <c r="C888" s="75"/>
      <c r="D888" s="76"/>
      <c r="E888" s="77"/>
      <c r="F888" s="78"/>
      <c r="G888" s="78"/>
      <c r="H888" s="79"/>
      <c r="I888" s="80"/>
      <c r="J888" s="77"/>
      <c r="K888" s="81" t="b">
        <v>0</v>
      </c>
      <c r="L888" s="78"/>
      <c r="M888" s="82"/>
      <c r="N888" s="78"/>
      <c r="O888" s="78"/>
      <c r="P888" s="78"/>
      <c r="Q888" s="78"/>
      <c r="R888" s="78"/>
      <c r="S888" s="78"/>
      <c r="T888" s="83"/>
    </row>
    <row r="889" spans="1:20" ht="15" customHeight="1" x14ac:dyDescent="0.3">
      <c r="A889" s="73"/>
      <c r="B889" s="74"/>
      <c r="C889" s="75"/>
      <c r="D889" s="76"/>
      <c r="E889" s="77"/>
      <c r="F889" s="78"/>
      <c r="G889" s="78"/>
      <c r="H889" s="79"/>
      <c r="I889" s="80"/>
      <c r="J889" s="77"/>
      <c r="K889" s="81" t="b">
        <v>0</v>
      </c>
      <c r="L889" s="78"/>
      <c r="M889" s="82"/>
      <c r="N889" s="78"/>
      <c r="O889" s="78"/>
      <c r="P889" s="78"/>
      <c r="Q889" s="78"/>
      <c r="R889" s="78"/>
      <c r="S889" s="78"/>
      <c r="T889" s="83"/>
    </row>
    <row r="890" spans="1:20" ht="15" customHeight="1" x14ac:dyDescent="0.3">
      <c r="A890" s="73"/>
      <c r="B890" s="74"/>
      <c r="C890" s="75"/>
      <c r="D890" s="76"/>
      <c r="E890" s="77"/>
      <c r="F890" s="78"/>
      <c r="G890" s="78"/>
      <c r="H890" s="79"/>
      <c r="I890" s="80"/>
      <c r="J890" s="77"/>
      <c r="K890" s="81" t="b">
        <v>0</v>
      </c>
      <c r="L890" s="78"/>
      <c r="M890" s="82"/>
      <c r="N890" s="78"/>
      <c r="O890" s="78"/>
      <c r="P890" s="78"/>
      <c r="Q890" s="78"/>
      <c r="R890" s="78"/>
      <c r="S890" s="78"/>
      <c r="T890" s="83"/>
    </row>
    <row r="891" spans="1:20" ht="15" customHeight="1" x14ac:dyDescent="0.3">
      <c r="A891" s="73"/>
      <c r="B891" s="74"/>
      <c r="C891" s="75"/>
      <c r="D891" s="76"/>
      <c r="E891" s="77"/>
      <c r="F891" s="78"/>
      <c r="G891" s="78"/>
      <c r="H891" s="79"/>
      <c r="I891" s="80"/>
      <c r="J891" s="77"/>
      <c r="K891" s="81" t="b">
        <v>0</v>
      </c>
      <c r="L891" s="78"/>
      <c r="M891" s="82"/>
      <c r="N891" s="78"/>
      <c r="O891" s="78"/>
      <c r="P891" s="78"/>
      <c r="Q891" s="78"/>
      <c r="R891" s="78"/>
      <c r="S891" s="78"/>
      <c r="T891" s="83"/>
    </row>
    <row r="892" spans="1:20" ht="15" customHeight="1" x14ac:dyDescent="0.3">
      <c r="A892" s="73"/>
      <c r="B892" s="74"/>
      <c r="C892" s="75"/>
      <c r="D892" s="76"/>
      <c r="E892" s="77"/>
      <c r="F892" s="78"/>
      <c r="G892" s="78"/>
      <c r="H892" s="79"/>
      <c r="I892" s="80"/>
      <c r="J892" s="77"/>
      <c r="K892" s="81" t="b">
        <v>0</v>
      </c>
      <c r="L892" s="78"/>
      <c r="M892" s="82"/>
      <c r="N892" s="78"/>
      <c r="O892" s="78"/>
      <c r="P892" s="78"/>
      <c r="Q892" s="78"/>
      <c r="R892" s="78"/>
      <c r="S892" s="78"/>
      <c r="T892" s="83"/>
    </row>
    <row r="893" spans="1:20" ht="15" customHeight="1" x14ac:dyDescent="0.3">
      <c r="A893" s="73"/>
      <c r="B893" s="74"/>
      <c r="C893" s="75"/>
      <c r="D893" s="76"/>
      <c r="E893" s="77"/>
      <c r="F893" s="78"/>
      <c r="G893" s="78"/>
      <c r="H893" s="79"/>
      <c r="I893" s="80"/>
      <c r="J893" s="77"/>
      <c r="K893" s="81" t="b">
        <v>0</v>
      </c>
      <c r="L893" s="78"/>
      <c r="M893" s="82"/>
      <c r="N893" s="78"/>
      <c r="O893" s="78"/>
      <c r="P893" s="78"/>
      <c r="Q893" s="78"/>
      <c r="R893" s="78"/>
      <c r="S893" s="78"/>
      <c r="T893" s="83"/>
    </row>
    <row r="894" spans="1:20" ht="15" customHeight="1" x14ac:dyDescent="0.3">
      <c r="A894" s="73"/>
      <c r="B894" s="74"/>
      <c r="C894" s="75"/>
      <c r="D894" s="76"/>
      <c r="E894" s="77"/>
      <c r="F894" s="78"/>
      <c r="G894" s="78"/>
      <c r="H894" s="79"/>
      <c r="I894" s="80"/>
      <c r="J894" s="77"/>
      <c r="K894" s="81" t="b">
        <v>0</v>
      </c>
      <c r="L894" s="78"/>
      <c r="M894" s="82"/>
      <c r="N894" s="78"/>
      <c r="O894" s="78"/>
      <c r="P894" s="78"/>
      <c r="Q894" s="78"/>
      <c r="R894" s="78"/>
      <c r="S894" s="78"/>
      <c r="T894" s="83"/>
    </row>
    <row r="895" spans="1:20" ht="15" customHeight="1" x14ac:dyDescent="0.3">
      <c r="A895" s="73"/>
      <c r="B895" s="74"/>
      <c r="C895" s="75"/>
      <c r="D895" s="76"/>
      <c r="E895" s="77"/>
      <c r="F895" s="78"/>
      <c r="G895" s="78"/>
      <c r="H895" s="79"/>
      <c r="I895" s="80"/>
      <c r="J895" s="77"/>
      <c r="K895" s="81" t="b">
        <v>0</v>
      </c>
      <c r="L895" s="78"/>
      <c r="M895" s="82"/>
      <c r="N895" s="78"/>
      <c r="O895" s="78"/>
      <c r="P895" s="78"/>
      <c r="Q895" s="78"/>
      <c r="R895" s="78"/>
      <c r="S895" s="78"/>
      <c r="T895" s="83"/>
    </row>
    <row r="896" spans="1:20" ht="15" customHeight="1" x14ac:dyDescent="0.3">
      <c r="A896" s="73"/>
      <c r="B896" s="74"/>
      <c r="C896" s="75"/>
      <c r="D896" s="76"/>
      <c r="E896" s="77"/>
      <c r="F896" s="78"/>
      <c r="G896" s="78"/>
      <c r="H896" s="79"/>
      <c r="I896" s="80"/>
      <c r="J896" s="77"/>
      <c r="K896" s="81" t="b">
        <v>0</v>
      </c>
      <c r="L896" s="78"/>
      <c r="M896" s="82"/>
      <c r="N896" s="78"/>
      <c r="O896" s="78"/>
      <c r="P896" s="78"/>
      <c r="Q896" s="78"/>
      <c r="R896" s="78"/>
      <c r="S896" s="78"/>
      <c r="T896" s="83"/>
    </row>
    <row r="897" spans="1:20" ht="15" customHeight="1" x14ac:dyDescent="0.3">
      <c r="A897" s="73"/>
      <c r="B897" s="74"/>
      <c r="C897" s="75"/>
      <c r="D897" s="76"/>
      <c r="E897" s="77"/>
      <c r="F897" s="78"/>
      <c r="G897" s="78"/>
      <c r="H897" s="79"/>
      <c r="I897" s="80"/>
      <c r="J897" s="77"/>
      <c r="K897" s="81" t="b">
        <v>0</v>
      </c>
      <c r="L897" s="78"/>
      <c r="M897" s="82"/>
      <c r="N897" s="78"/>
      <c r="O897" s="78"/>
      <c r="P897" s="78"/>
      <c r="Q897" s="78"/>
      <c r="R897" s="78"/>
      <c r="S897" s="78"/>
      <c r="T897" s="83"/>
    </row>
    <row r="898" spans="1:20" ht="15" customHeight="1" x14ac:dyDescent="0.3">
      <c r="A898" s="73"/>
      <c r="B898" s="74"/>
      <c r="C898" s="75"/>
      <c r="D898" s="76"/>
      <c r="E898" s="77"/>
      <c r="F898" s="78"/>
      <c r="G898" s="78"/>
      <c r="H898" s="79"/>
      <c r="I898" s="80"/>
      <c r="J898" s="77"/>
      <c r="K898" s="81" t="b">
        <v>0</v>
      </c>
      <c r="L898" s="78"/>
      <c r="M898" s="82"/>
      <c r="N898" s="78"/>
      <c r="O898" s="78"/>
      <c r="P898" s="78"/>
      <c r="Q898" s="78"/>
      <c r="R898" s="78"/>
      <c r="S898" s="78"/>
      <c r="T898" s="83"/>
    </row>
    <row r="899" spans="1:20" ht="15" customHeight="1" x14ac:dyDescent="0.3">
      <c r="A899" s="73"/>
      <c r="B899" s="74"/>
      <c r="C899" s="75"/>
      <c r="D899" s="76"/>
      <c r="E899" s="77"/>
      <c r="F899" s="78"/>
      <c r="G899" s="78"/>
      <c r="H899" s="79"/>
      <c r="I899" s="80"/>
      <c r="J899" s="77"/>
      <c r="K899" s="81" t="b">
        <v>0</v>
      </c>
      <c r="L899" s="78"/>
      <c r="M899" s="82"/>
      <c r="N899" s="78"/>
      <c r="O899" s="78"/>
      <c r="P899" s="78"/>
      <c r="Q899" s="78"/>
      <c r="R899" s="78"/>
      <c r="S899" s="78"/>
      <c r="T899" s="83"/>
    </row>
    <row r="900" spans="1:20" ht="15" customHeight="1" x14ac:dyDescent="0.3">
      <c r="A900" s="73"/>
      <c r="B900" s="74"/>
      <c r="C900" s="75"/>
      <c r="D900" s="76"/>
      <c r="E900" s="77"/>
      <c r="F900" s="78"/>
      <c r="G900" s="78"/>
      <c r="H900" s="79"/>
      <c r="I900" s="80"/>
      <c r="J900" s="77"/>
      <c r="K900" s="81" t="b">
        <v>0</v>
      </c>
      <c r="L900" s="78"/>
      <c r="M900" s="82"/>
      <c r="N900" s="78"/>
      <c r="O900" s="78"/>
      <c r="P900" s="78"/>
      <c r="Q900" s="78"/>
      <c r="R900" s="78"/>
      <c r="S900" s="78"/>
      <c r="T900" s="83"/>
    </row>
    <row r="901" spans="1:20" ht="15" customHeight="1" x14ac:dyDescent="0.3">
      <c r="A901" s="73"/>
      <c r="B901" s="74"/>
      <c r="C901" s="75"/>
      <c r="D901" s="76"/>
      <c r="E901" s="77"/>
      <c r="F901" s="78"/>
      <c r="G901" s="78"/>
      <c r="H901" s="79"/>
      <c r="I901" s="80"/>
      <c r="J901" s="77"/>
      <c r="K901" s="81" t="b">
        <v>0</v>
      </c>
      <c r="L901" s="78"/>
      <c r="M901" s="82"/>
      <c r="N901" s="78"/>
      <c r="O901" s="78"/>
      <c r="P901" s="78"/>
      <c r="Q901" s="78"/>
      <c r="R901" s="78"/>
      <c r="S901" s="78"/>
      <c r="T901" s="83"/>
    </row>
    <row r="902" spans="1:20" ht="15" customHeight="1" x14ac:dyDescent="0.3">
      <c r="A902" s="73"/>
      <c r="B902" s="74"/>
      <c r="C902" s="75"/>
      <c r="D902" s="76"/>
      <c r="E902" s="77"/>
      <c r="F902" s="78"/>
      <c r="G902" s="78"/>
      <c r="H902" s="79"/>
      <c r="I902" s="80"/>
      <c r="J902" s="77"/>
      <c r="K902" s="81" t="b">
        <v>0</v>
      </c>
      <c r="L902" s="78"/>
      <c r="M902" s="82"/>
      <c r="N902" s="78"/>
      <c r="O902" s="78"/>
      <c r="P902" s="78"/>
      <c r="Q902" s="78"/>
      <c r="R902" s="78"/>
      <c r="S902" s="78"/>
      <c r="T902" s="83"/>
    </row>
    <row r="903" spans="1:20" ht="15" customHeight="1" x14ac:dyDescent="0.3">
      <c r="A903" s="73"/>
      <c r="B903" s="74"/>
      <c r="C903" s="75"/>
      <c r="D903" s="76"/>
      <c r="E903" s="77"/>
      <c r="F903" s="78"/>
      <c r="G903" s="78"/>
      <c r="H903" s="79"/>
      <c r="I903" s="80"/>
      <c r="J903" s="77"/>
      <c r="K903" s="81" t="b">
        <v>0</v>
      </c>
      <c r="L903" s="78"/>
      <c r="M903" s="82"/>
      <c r="N903" s="78"/>
      <c r="O903" s="78"/>
      <c r="P903" s="78"/>
      <c r="Q903" s="78"/>
      <c r="R903" s="78"/>
      <c r="S903" s="78"/>
      <c r="T903" s="83"/>
    </row>
    <row r="904" spans="1:20" ht="15" customHeight="1" x14ac:dyDescent="0.3">
      <c r="A904" s="73"/>
      <c r="B904" s="74"/>
      <c r="C904" s="75"/>
      <c r="D904" s="76"/>
      <c r="E904" s="77"/>
      <c r="F904" s="78"/>
      <c r="G904" s="78"/>
      <c r="H904" s="79"/>
      <c r="I904" s="80"/>
      <c r="J904" s="77"/>
      <c r="K904" s="81" t="b">
        <v>0</v>
      </c>
      <c r="L904" s="78"/>
      <c r="M904" s="82"/>
      <c r="N904" s="78"/>
      <c r="O904" s="78"/>
      <c r="P904" s="78"/>
      <c r="Q904" s="78"/>
      <c r="R904" s="78"/>
      <c r="S904" s="78"/>
      <c r="T904" s="83"/>
    </row>
    <row r="905" spans="1:20" ht="15" customHeight="1" x14ac:dyDescent="0.3">
      <c r="A905" s="73"/>
      <c r="B905" s="74"/>
      <c r="C905" s="75"/>
      <c r="D905" s="76"/>
      <c r="E905" s="77"/>
      <c r="F905" s="78"/>
      <c r="G905" s="78"/>
      <c r="H905" s="79"/>
      <c r="I905" s="80"/>
      <c r="J905" s="77"/>
      <c r="K905" s="81" t="b">
        <v>0</v>
      </c>
      <c r="L905" s="78"/>
      <c r="M905" s="82"/>
      <c r="N905" s="78"/>
      <c r="O905" s="78"/>
      <c r="P905" s="78"/>
      <c r="Q905" s="78"/>
      <c r="R905" s="78"/>
      <c r="S905" s="78"/>
      <c r="T905" s="83"/>
    </row>
    <row r="906" spans="1:20" ht="15" customHeight="1" x14ac:dyDescent="0.3">
      <c r="A906" s="73"/>
      <c r="B906" s="74"/>
      <c r="C906" s="75"/>
      <c r="D906" s="76"/>
      <c r="E906" s="77"/>
      <c r="F906" s="78"/>
      <c r="G906" s="78"/>
      <c r="H906" s="79"/>
      <c r="I906" s="80"/>
      <c r="J906" s="77"/>
      <c r="K906" s="81" t="b">
        <v>0</v>
      </c>
      <c r="L906" s="78"/>
      <c r="M906" s="82"/>
      <c r="N906" s="78"/>
      <c r="O906" s="78"/>
      <c r="P906" s="78"/>
      <c r="Q906" s="78"/>
      <c r="R906" s="78"/>
      <c r="S906" s="78"/>
      <c r="T906" s="83"/>
    </row>
    <row r="907" spans="1:20" ht="15" customHeight="1" x14ac:dyDescent="0.3">
      <c r="A907" s="73"/>
      <c r="B907" s="74"/>
      <c r="C907" s="75"/>
      <c r="D907" s="76"/>
      <c r="E907" s="77"/>
      <c r="F907" s="78"/>
      <c r="G907" s="78"/>
      <c r="H907" s="79"/>
      <c r="I907" s="80"/>
      <c r="J907" s="77"/>
      <c r="K907" s="81" t="b">
        <v>0</v>
      </c>
      <c r="L907" s="78"/>
      <c r="M907" s="82"/>
      <c r="N907" s="78"/>
      <c r="O907" s="78"/>
      <c r="P907" s="78"/>
      <c r="Q907" s="78"/>
      <c r="R907" s="78"/>
      <c r="S907" s="78"/>
      <c r="T907" s="83"/>
    </row>
    <row r="908" spans="1:20" ht="15" customHeight="1" x14ac:dyDescent="0.3">
      <c r="A908" s="73"/>
      <c r="B908" s="74"/>
      <c r="C908" s="75"/>
      <c r="D908" s="76"/>
      <c r="E908" s="77"/>
      <c r="F908" s="78"/>
      <c r="G908" s="78"/>
      <c r="H908" s="79"/>
      <c r="I908" s="80"/>
      <c r="J908" s="77"/>
      <c r="K908" s="81" t="b">
        <v>0</v>
      </c>
      <c r="L908" s="78"/>
      <c r="M908" s="82"/>
      <c r="N908" s="78"/>
      <c r="O908" s="78"/>
      <c r="P908" s="78"/>
      <c r="Q908" s="78"/>
      <c r="R908" s="78"/>
      <c r="S908" s="78"/>
      <c r="T908" s="83"/>
    </row>
    <row r="909" spans="1:20" ht="15" customHeight="1" x14ac:dyDescent="0.3">
      <c r="A909" s="73"/>
      <c r="B909" s="74"/>
      <c r="C909" s="75"/>
      <c r="D909" s="76"/>
      <c r="E909" s="77"/>
      <c r="F909" s="78"/>
      <c r="G909" s="78"/>
      <c r="H909" s="79"/>
      <c r="I909" s="80"/>
      <c r="J909" s="77"/>
      <c r="K909" s="81" t="b">
        <v>0</v>
      </c>
      <c r="L909" s="78"/>
      <c r="M909" s="82"/>
      <c r="N909" s="78"/>
      <c r="O909" s="78"/>
      <c r="P909" s="78"/>
      <c r="Q909" s="78"/>
      <c r="R909" s="78"/>
      <c r="S909" s="78"/>
      <c r="T909" s="83"/>
    </row>
    <row r="910" spans="1:20" ht="15" customHeight="1" x14ac:dyDescent="0.3">
      <c r="A910" s="73"/>
      <c r="B910" s="74"/>
      <c r="C910" s="75"/>
      <c r="D910" s="76"/>
      <c r="E910" s="77"/>
      <c r="F910" s="78"/>
      <c r="G910" s="78"/>
      <c r="H910" s="79"/>
      <c r="I910" s="80"/>
      <c r="J910" s="77"/>
      <c r="K910" s="81" t="b">
        <v>0</v>
      </c>
      <c r="L910" s="78"/>
      <c r="M910" s="82"/>
      <c r="N910" s="78"/>
      <c r="O910" s="78"/>
      <c r="P910" s="78"/>
      <c r="Q910" s="78"/>
      <c r="R910" s="78"/>
      <c r="S910" s="78"/>
      <c r="T910" s="83"/>
    </row>
    <row r="911" spans="1:20" ht="15" customHeight="1" x14ac:dyDescent="0.3">
      <c r="A911" s="73"/>
      <c r="B911" s="74"/>
      <c r="C911" s="75"/>
      <c r="D911" s="76"/>
      <c r="E911" s="77"/>
      <c r="F911" s="78"/>
      <c r="G911" s="78"/>
      <c r="H911" s="79"/>
      <c r="I911" s="80"/>
      <c r="J911" s="77"/>
      <c r="K911" s="81" t="b">
        <v>0</v>
      </c>
      <c r="L911" s="78"/>
      <c r="M911" s="82"/>
      <c r="N911" s="78"/>
      <c r="O911" s="78"/>
      <c r="P911" s="78"/>
      <c r="Q911" s="78"/>
      <c r="R911" s="78"/>
      <c r="S911" s="78"/>
      <c r="T911" s="83"/>
    </row>
    <row r="912" spans="1:20" ht="15" customHeight="1" x14ac:dyDescent="0.3">
      <c r="A912" s="73"/>
      <c r="B912" s="74"/>
      <c r="C912" s="75"/>
      <c r="D912" s="76"/>
      <c r="E912" s="77"/>
      <c r="F912" s="78"/>
      <c r="G912" s="78"/>
      <c r="H912" s="79"/>
      <c r="I912" s="80"/>
      <c r="J912" s="77"/>
      <c r="K912" s="81" t="b">
        <v>0</v>
      </c>
      <c r="L912" s="78"/>
      <c r="M912" s="82"/>
      <c r="N912" s="78"/>
      <c r="O912" s="78"/>
      <c r="P912" s="78"/>
      <c r="Q912" s="78"/>
      <c r="R912" s="78"/>
      <c r="S912" s="78"/>
      <c r="T912" s="83"/>
    </row>
    <row r="913" spans="1:20" ht="15" customHeight="1" x14ac:dyDescent="0.3">
      <c r="A913" s="73"/>
      <c r="B913" s="74"/>
      <c r="C913" s="75"/>
      <c r="D913" s="76"/>
      <c r="E913" s="77"/>
      <c r="F913" s="78"/>
      <c r="G913" s="78"/>
      <c r="H913" s="79"/>
      <c r="I913" s="80"/>
      <c r="J913" s="77"/>
      <c r="K913" s="81" t="b">
        <v>0</v>
      </c>
      <c r="L913" s="78"/>
      <c r="M913" s="82"/>
      <c r="N913" s="78"/>
      <c r="O913" s="78"/>
      <c r="P913" s="78"/>
      <c r="Q913" s="78"/>
      <c r="R913" s="78"/>
      <c r="S913" s="78"/>
      <c r="T913" s="83"/>
    </row>
    <row r="914" spans="1:20" ht="15" customHeight="1" x14ac:dyDescent="0.3">
      <c r="A914" s="73"/>
      <c r="B914" s="74"/>
      <c r="C914" s="75"/>
      <c r="D914" s="76"/>
      <c r="E914" s="77"/>
      <c r="F914" s="78"/>
      <c r="G914" s="78"/>
      <c r="H914" s="79"/>
      <c r="I914" s="80"/>
      <c r="J914" s="77"/>
      <c r="K914" s="81" t="b">
        <v>0</v>
      </c>
      <c r="L914" s="78"/>
      <c r="M914" s="82"/>
      <c r="N914" s="78"/>
      <c r="O914" s="78"/>
      <c r="P914" s="78"/>
      <c r="Q914" s="78"/>
      <c r="R914" s="78"/>
      <c r="S914" s="78"/>
      <c r="T914" s="83"/>
    </row>
    <row r="915" spans="1:20" ht="15" customHeight="1" x14ac:dyDescent="0.3">
      <c r="A915" s="73"/>
      <c r="B915" s="74"/>
      <c r="C915" s="75"/>
      <c r="D915" s="76"/>
      <c r="E915" s="77"/>
      <c r="F915" s="78"/>
      <c r="G915" s="78"/>
      <c r="H915" s="79"/>
      <c r="I915" s="80"/>
      <c r="J915" s="77"/>
      <c r="K915" s="81" t="b">
        <v>0</v>
      </c>
      <c r="L915" s="78"/>
      <c r="M915" s="82"/>
      <c r="N915" s="78"/>
      <c r="O915" s="78"/>
      <c r="P915" s="78"/>
      <c r="Q915" s="78"/>
      <c r="R915" s="78"/>
      <c r="S915" s="78"/>
      <c r="T915" s="83"/>
    </row>
    <row r="916" spans="1:20" ht="15" customHeight="1" x14ac:dyDescent="0.3">
      <c r="A916" s="73"/>
      <c r="B916" s="74"/>
      <c r="C916" s="75"/>
      <c r="D916" s="76"/>
      <c r="E916" s="77"/>
      <c r="F916" s="78"/>
      <c r="G916" s="78"/>
      <c r="H916" s="79"/>
      <c r="I916" s="80"/>
      <c r="J916" s="77"/>
      <c r="K916" s="81" t="b">
        <v>0</v>
      </c>
      <c r="L916" s="78"/>
      <c r="M916" s="82"/>
      <c r="N916" s="78"/>
      <c r="O916" s="78"/>
      <c r="P916" s="78"/>
      <c r="Q916" s="78"/>
      <c r="R916" s="78"/>
      <c r="S916" s="78"/>
      <c r="T916" s="83"/>
    </row>
    <row r="917" spans="1:20" ht="15" customHeight="1" x14ac:dyDescent="0.3">
      <c r="A917" s="73"/>
      <c r="B917" s="74"/>
      <c r="C917" s="75"/>
      <c r="D917" s="76"/>
      <c r="E917" s="77"/>
      <c r="F917" s="78"/>
      <c r="G917" s="78"/>
      <c r="H917" s="79"/>
      <c r="I917" s="80"/>
      <c r="J917" s="77"/>
      <c r="K917" s="81" t="b">
        <v>0</v>
      </c>
      <c r="L917" s="78"/>
      <c r="M917" s="82"/>
      <c r="N917" s="78"/>
      <c r="O917" s="78"/>
      <c r="P917" s="78"/>
      <c r="Q917" s="78"/>
      <c r="R917" s="78"/>
      <c r="S917" s="78"/>
      <c r="T917" s="83"/>
    </row>
    <row r="918" spans="1:20" ht="15" customHeight="1" x14ac:dyDescent="0.3">
      <c r="A918" s="73"/>
      <c r="B918" s="74"/>
      <c r="C918" s="75"/>
      <c r="D918" s="76"/>
      <c r="E918" s="77"/>
      <c r="F918" s="78"/>
      <c r="G918" s="78"/>
      <c r="H918" s="79"/>
      <c r="I918" s="80"/>
      <c r="J918" s="77"/>
      <c r="K918" s="81" t="b">
        <v>0</v>
      </c>
      <c r="L918" s="78"/>
      <c r="M918" s="82"/>
      <c r="N918" s="78"/>
      <c r="O918" s="78"/>
      <c r="P918" s="78"/>
      <c r="Q918" s="78"/>
      <c r="R918" s="78"/>
      <c r="S918" s="78"/>
      <c r="T918" s="83"/>
    </row>
    <row r="919" spans="1:20" ht="15" customHeight="1" x14ac:dyDescent="0.3">
      <c r="A919" s="73"/>
      <c r="B919" s="74"/>
      <c r="C919" s="75"/>
      <c r="D919" s="76"/>
      <c r="E919" s="77"/>
      <c r="F919" s="78"/>
      <c r="G919" s="78"/>
      <c r="H919" s="79"/>
      <c r="I919" s="80"/>
      <c r="J919" s="77"/>
      <c r="K919" s="81" t="b">
        <v>0</v>
      </c>
      <c r="L919" s="78"/>
      <c r="M919" s="82"/>
      <c r="N919" s="78"/>
      <c r="O919" s="78"/>
      <c r="P919" s="78"/>
      <c r="Q919" s="78"/>
      <c r="R919" s="78"/>
      <c r="S919" s="78"/>
      <c r="T919" s="83"/>
    </row>
    <row r="920" spans="1:20" ht="15" customHeight="1" x14ac:dyDescent="0.3">
      <c r="A920" s="73"/>
      <c r="B920" s="74"/>
      <c r="C920" s="75"/>
      <c r="D920" s="76"/>
      <c r="E920" s="77"/>
      <c r="F920" s="78"/>
      <c r="G920" s="78"/>
      <c r="H920" s="79"/>
      <c r="I920" s="80"/>
      <c r="J920" s="77"/>
      <c r="K920" s="81" t="b">
        <v>0</v>
      </c>
      <c r="L920" s="78"/>
      <c r="M920" s="82"/>
      <c r="N920" s="78"/>
      <c r="O920" s="78"/>
      <c r="P920" s="78"/>
      <c r="Q920" s="78"/>
      <c r="R920" s="78"/>
      <c r="S920" s="78"/>
      <c r="T920" s="83"/>
    </row>
    <row r="921" spans="1:20" ht="15" customHeight="1" x14ac:dyDescent="0.3">
      <c r="A921" s="73"/>
      <c r="B921" s="74"/>
      <c r="C921" s="75"/>
      <c r="D921" s="76"/>
      <c r="E921" s="77"/>
      <c r="F921" s="78"/>
      <c r="G921" s="78"/>
      <c r="H921" s="79"/>
      <c r="I921" s="80"/>
      <c r="J921" s="77"/>
      <c r="K921" s="81" t="b">
        <v>0</v>
      </c>
      <c r="L921" s="78"/>
      <c r="M921" s="82"/>
      <c r="N921" s="78"/>
      <c r="O921" s="78"/>
      <c r="P921" s="78"/>
      <c r="Q921" s="78"/>
      <c r="R921" s="78"/>
      <c r="S921" s="78"/>
      <c r="T921" s="83"/>
    </row>
    <row r="922" spans="1:20" ht="15" customHeight="1" x14ac:dyDescent="0.3">
      <c r="A922" s="73"/>
      <c r="B922" s="74"/>
      <c r="C922" s="75"/>
      <c r="D922" s="76"/>
      <c r="E922" s="77"/>
      <c r="F922" s="78"/>
      <c r="G922" s="78"/>
      <c r="H922" s="79"/>
      <c r="I922" s="80"/>
      <c r="J922" s="77"/>
      <c r="K922" s="81" t="b">
        <v>0</v>
      </c>
      <c r="L922" s="78"/>
      <c r="M922" s="82"/>
      <c r="N922" s="78"/>
      <c r="O922" s="78"/>
      <c r="P922" s="78"/>
      <c r="Q922" s="78"/>
      <c r="R922" s="78"/>
      <c r="S922" s="78"/>
      <c r="T922" s="83"/>
    </row>
    <row r="923" spans="1:20" ht="15" customHeight="1" x14ac:dyDescent="0.3">
      <c r="A923" s="73"/>
      <c r="B923" s="74"/>
      <c r="C923" s="75"/>
      <c r="D923" s="76"/>
      <c r="E923" s="77"/>
      <c r="F923" s="78"/>
      <c r="G923" s="78"/>
      <c r="H923" s="79"/>
      <c r="I923" s="80"/>
      <c r="J923" s="77"/>
      <c r="K923" s="81" t="b">
        <v>0</v>
      </c>
      <c r="L923" s="78"/>
      <c r="M923" s="82"/>
      <c r="N923" s="78"/>
      <c r="O923" s="78"/>
      <c r="P923" s="78"/>
      <c r="Q923" s="78"/>
      <c r="R923" s="78"/>
      <c r="S923" s="78"/>
      <c r="T923" s="83"/>
    </row>
    <row r="924" spans="1:20" ht="15" customHeight="1" x14ac:dyDescent="0.3">
      <c r="A924" s="73"/>
      <c r="B924" s="74"/>
      <c r="C924" s="75"/>
      <c r="D924" s="76"/>
      <c r="E924" s="77"/>
      <c r="F924" s="78"/>
      <c r="G924" s="78"/>
      <c r="H924" s="79"/>
      <c r="I924" s="80"/>
      <c r="J924" s="77"/>
      <c r="K924" s="81" t="b">
        <v>0</v>
      </c>
      <c r="L924" s="78"/>
      <c r="M924" s="82"/>
      <c r="N924" s="78"/>
      <c r="O924" s="78"/>
      <c r="P924" s="78"/>
      <c r="Q924" s="78"/>
      <c r="R924" s="78"/>
      <c r="S924" s="78"/>
      <c r="T924" s="83"/>
    </row>
    <row r="925" spans="1:20" ht="15" customHeight="1" x14ac:dyDescent="0.3">
      <c r="A925" s="73"/>
      <c r="B925" s="74"/>
      <c r="C925" s="75"/>
      <c r="D925" s="76"/>
      <c r="E925" s="77"/>
      <c r="F925" s="78"/>
      <c r="G925" s="78"/>
      <c r="H925" s="79"/>
      <c r="I925" s="80"/>
      <c r="J925" s="77"/>
      <c r="K925" s="81" t="b">
        <v>0</v>
      </c>
      <c r="L925" s="78"/>
      <c r="M925" s="82"/>
      <c r="N925" s="78"/>
      <c r="O925" s="78"/>
      <c r="P925" s="78"/>
      <c r="Q925" s="78"/>
      <c r="R925" s="78"/>
      <c r="S925" s="78"/>
      <c r="T925" s="83"/>
    </row>
    <row r="926" spans="1:20" ht="15" customHeight="1" x14ac:dyDescent="0.3">
      <c r="A926" s="73"/>
      <c r="B926" s="74"/>
      <c r="C926" s="75"/>
      <c r="D926" s="76"/>
      <c r="E926" s="77"/>
      <c r="F926" s="78"/>
      <c r="G926" s="78"/>
      <c r="H926" s="79"/>
      <c r="I926" s="80"/>
      <c r="J926" s="77"/>
      <c r="K926" s="81" t="b">
        <v>0</v>
      </c>
      <c r="L926" s="78"/>
      <c r="M926" s="82"/>
      <c r="N926" s="78"/>
      <c r="O926" s="78"/>
      <c r="P926" s="78"/>
      <c r="Q926" s="78"/>
      <c r="R926" s="78"/>
      <c r="S926" s="78"/>
      <c r="T926" s="83"/>
    </row>
    <row r="927" spans="1:20" ht="15" customHeight="1" x14ac:dyDescent="0.3">
      <c r="A927" s="73"/>
      <c r="B927" s="74"/>
      <c r="C927" s="75"/>
      <c r="D927" s="76"/>
      <c r="E927" s="77"/>
      <c r="F927" s="78"/>
      <c r="G927" s="78"/>
      <c r="H927" s="79"/>
      <c r="I927" s="80"/>
      <c r="J927" s="77"/>
      <c r="K927" s="81" t="b">
        <v>0</v>
      </c>
      <c r="L927" s="78"/>
      <c r="M927" s="82"/>
      <c r="N927" s="78"/>
      <c r="O927" s="78"/>
      <c r="P927" s="78"/>
      <c r="Q927" s="78"/>
      <c r="R927" s="78"/>
      <c r="S927" s="78"/>
      <c r="T927" s="83"/>
    </row>
    <row r="928" spans="1:20" ht="15" customHeight="1" x14ac:dyDescent="0.3">
      <c r="A928" s="73"/>
      <c r="B928" s="74"/>
      <c r="C928" s="75"/>
      <c r="D928" s="76"/>
      <c r="E928" s="77"/>
      <c r="F928" s="78"/>
      <c r="G928" s="78"/>
      <c r="H928" s="79"/>
      <c r="I928" s="80"/>
      <c r="J928" s="77"/>
      <c r="K928" s="81" t="b">
        <v>0</v>
      </c>
      <c r="L928" s="78"/>
      <c r="M928" s="82"/>
      <c r="N928" s="78"/>
      <c r="O928" s="78"/>
      <c r="P928" s="78"/>
      <c r="Q928" s="78"/>
      <c r="R928" s="78"/>
      <c r="S928" s="78"/>
      <c r="T928" s="83"/>
    </row>
    <row r="929" spans="1:20" ht="15" customHeight="1" x14ac:dyDescent="0.3">
      <c r="A929" s="73"/>
      <c r="B929" s="74"/>
      <c r="C929" s="75"/>
      <c r="D929" s="76"/>
      <c r="E929" s="77"/>
      <c r="F929" s="78"/>
      <c r="G929" s="78"/>
      <c r="H929" s="79"/>
      <c r="I929" s="80"/>
      <c r="J929" s="77"/>
      <c r="K929" s="81" t="b">
        <v>0</v>
      </c>
      <c r="L929" s="78"/>
      <c r="M929" s="82"/>
      <c r="N929" s="78"/>
      <c r="O929" s="78"/>
      <c r="P929" s="78"/>
      <c r="Q929" s="78"/>
      <c r="R929" s="78"/>
      <c r="S929" s="78"/>
      <c r="T929" s="83"/>
    </row>
    <row r="930" spans="1:20" ht="15" customHeight="1" x14ac:dyDescent="0.3">
      <c r="A930" s="73"/>
      <c r="B930" s="74"/>
      <c r="C930" s="75"/>
      <c r="D930" s="76"/>
      <c r="E930" s="77"/>
      <c r="F930" s="78"/>
      <c r="G930" s="78"/>
      <c r="H930" s="79"/>
      <c r="I930" s="80"/>
      <c r="J930" s="77"/>
      <c r="K930" s="81" t="b">
        <v>0</v>
      </c>
      <c r="L930" s="78"/>
      <c r="M930" s="82"/>
      <c r="N930" s="78"/>
      <c r="O930" s="78"/>
      <c r="P930" s="78"/>
      <c r="Q930" s="78"/>
      <c r="R930" s="78"/>
      <c r="S930" s="78"/>
      <c r="T930" s="83"/>
    </row>
    <row r="931" spans="1:20" ht="15" customHeight="1" x14ac:dyDescent="0.3">
      <c r="A931" s="73"/>
      <c r="B931" s="74"/>
      <c r="C931" s="75"/>
      <c r="D931" s="76"/>
      <c r="E931" s="77"/>
      <c r="F931" s="78"/>
      <c r="G931" s="78"/>
      <c r="H931" s="79"/>
      <c r="I931" s="80"/>
      <c r="J931" s="77"/>
      <c r="K931" s="81" t="b">
        <v>0</v>
      </c>
      <c r="L931" s="78"/>
      <c r="M931" s="82"/>
      <c r="N931" s="78"/>
      <c r="O931" s="78"/>
      <c r="P931" s="78"/>
      <c r="Q931" s="78"/>
      <c r="R931" s="78"/>
      <c r="S931" s="78"/>
      <c r="T931" s="83"/>
    </row>
    <row r="932" spans="1:20" ht="15" customHeight="1" x14ac:dyDescent="0.3">
      <c r="A932" s="73"/>
      <c r="B932" s="74"/>
      <c r="C932" s="75"/>
      <c r="D932" s="76"/>
      <c r="E932" s="77"/>
      <c r="F932" s="78"/>
      <c r="G932" s="78"/>
      <c r="H932" s="79"/>
      <c r="I932" s="80"/>
      <c r="J932" s="77"/>
      <c r="K932" s="81" t="b">
        <v>0</v>
      </c>
      <c r="L932" s="78"/>
      <c r="M932" s="82"/>
      <c r="N932" s="78"/>
      <c r="O932" s="78"/>
      <c r="P932" s="78"/>
      <c r="Q932" s="78"/>
      <c r="R932" s="78"/>
      <c r="S932" s="78"/>
      <c r="T932" s="83"/>
    </row>
    <row r="933" spans="1:20" ht="15" customHeight="1" x14ac:dyDescent="0.3">
      <c r="A933" s="73"/>
      <c r="B933" s="74"/>
      <c r="C933" s="75"/>
      <c r="D933" s="76"/>
      <c r="E933" s="77"/>
      <c r="F933" s="78"/>
      <c r="G933" s="78"/>
      <c r="H933" s="79"/>
      <c r="I933" s="80"/>
      <c r="J933" s="77"/>
      <c r="K933" s="81" t="b">
        <v>0</v>
      </c>
      <c r="L933" s="78"/>
      <c r="M933" s="82"/>
      <c r="N933" s="78"/>
      <c r="O933" s="78"/>
      <c r="P933" s="78"/>
      <c r="Q933" s="78"/>
      <c r="R933" s="78"/>
      <c r="S933" s="78"/>
      <c r="T933" s="83"/>
    </row>
    <row r="934" spans="1:20" ht="15" customHeight="1" x14ac:dyDescent="0.3">
      <c r="A934" s="73"/>
      <c r="B934" s="74"/>
      <c r="C934" s="75"/>
      <c r="D934" s="76"/>
      <c r="E934" s="77"/>
      <c r="F934" s="78"/>
      <c r="G934" s="78"/>
      <c r="H934" s="79"/>
      <c r="I934" s="80"/>
      <c r="J934" s="77"/>
      <c r="K934" s="81" t="b">
        <v>0</v>
      </c>
      <c r="L934" s="78"/>
      <c r="M934" s="82"/>
      <c r="N934" s="78"/>
      <c r="O934" s="78"/>
      <c r="P934" s="78"/>
      <c r="Q934" s="78"/>
      <c r="R934" s="78"/>
      <c r="S934" s="78"/>
      <c r="T934" s="83"/>
    </row>
    <row r="935" spans="1:20" ht="15" customHeight="1" x14ac:dyDescent="0.3">
      <c r="A935" s="73"/>
      <c r="B935" s="74"/>
      <c r="C935" s="75"/>
      <c r="D935" s="76"/>
      <c r="E935" s="77"/>
      <c r="F935" s="78"/>
      <c r="G935" s="78"/>
      <c r="H935" s="79"/>
      <c r="I935" s="80"/>
      <c r="J935" s="77"/>
      <c r="K935" s="81" t="b">
        <v>0</v>
      </c>
      <c r="L935" s="78"/>
      <c r="M935" s="82"/>
      <c r="N935" s="78"/>
      <c r="O935" s="78"/>
      <c r="P935" s="78"/>
      <c r="Q935" s="78"/>
      <c r="R935" s="78"/>
      <c r="S935" s="78"/>
      <c r="T935" s="83"/>
    </row>
    <row r="936" spans="1:20" ht="15" customHeight="1" x14ac:dyDescent="0.3">
      <c r="A936" s="73"/>
      <c r="B936" s="74"/>
      <c r="C936" s="75"/>
      <c r="D936" s="76"/>
      <c r="E936" s="77"/>
      <c r="F936" s="78"/>
      <c r="G936" s="78"/>
      <c r="H936" s="79"/>
      <c r="I936" s="80"/>
      <c r="J936" s="77"/>
      <c r="K936" s="81" t="b">
        <v>0</v>
      </c>
      <c r="L936" s="78"/>
      <c r="M936" s="82"/>
      <c r="N936" s="78"/>
      <c r="O936" s="78"/>
      <c r="P936" s="78"/>
      <c r="Q936" s="78"/>
      <c r="R936" s="78"/>
      <c r="S936" s="78"/>
      <c r="T936" s="83"/>
    </row>
    <row r="937" spans="1:20" ht="15" customHeight="1" x14ac:dyDescent="0.3">
      <c r="A937" s="73"/>
      <c r="B937" s="74"/>
      <c r="C937" s="75"/>
      <c r="D937" s="76"/>
      <c r="E937" s="77"/>
      <c r="F937" s="78"/>
      <c r="G937" s="78"/>
      <c r="H937" s="79"/>
      <c r="I937" s="80"/>
      <c r="J937" s="77"/>
      <c r="K937" s="81" t="b">
        <v>0</v>
      </c>
      <c r="L937" s="78"/>
      <c r="M937" s="82"/>
      <c r="N937" s="78"/>
      <c r="O937" s="78"/>
      <c r="P937" s="78"/>
      <c r="Q937" s="78"/>
      <c r="R937" s="78"/>
      <c r="S937" s="78"/>
      <c r="T937" s="83"/>
    </row>
    <row r="938" spans="1:20" ht="15" customHeight="1" x14ac:dyDescent="0.3">
      <c r="A938" s="73"/>
      <c r="B938" s="74"/>
      <c r="C938" s="75"/>
      <c r="D938" s="76"/>
      <c r="E938" s="77"/>
      <c r="F938" s="78"/>
      <c r="G938" s="78"/>
      <c r="H938" s="79"/>
      <c r="I938" s="80"/>
      <c r="J938" s="77"/>
      <c r="K938" s="81" t="b">
        <v>0</v>
      </c>
      <c r="L938" s="78"/>
      <c r="M938" s="82"/>
      <c r="N938" s="78"/>
      <c r="O938" s="78"/>
      <c r="P938" s="78"/>
      <c r="Q938" s="78"/>
      <c r="R938" s="78"/>
      <c r="S938" s="78"/>
      <c r="T938" s="83"/>
    </row>
    <row r="939" spans="1:20" ht="15" customHeight="1" x14ac:dyDescent="0.3">
      <c r="A939" s="73"/>
      <c r="B939" s="74"/>
      <c r="C939" s="75"/>
      <c r="D939" s="76"/>
      <c r="E939" s="77"/>
      <c r="F939" s="78"/>
      <c r="G939" s="78"/>
      <c r="H939" s="79"/>
      <c r="I939" s="80"/>
      <c r="J939" s="77"/>
      <c r="K939" s="81" t="b">
        <v>0</v>
      </c>
      <c r="L939" s="78"/>
      <c r="M939" s="82"/>
      <c r="N939" s="78"/>
      <c r="O939" s="78"/>
      <c r="P939" s="78"/>
      <c r="Q939" s="78"/>
      <c r="R939" s="78"/>
      <c r="S939" s="78"/>
      <c r="T939" s="83"/>
    </row>
    <row r="940" spans="1:20" ht="15" customHeight="1" x14ac:dyDescent="0.3">
      <c r="A940" s="73"/>
      <c r="B940" s="74"/>
      <c r="C940" s="75"/>
      <c r="D940" s="76"/>
      <c r="E940" s="77"/>
      <c r="F940" s="78"/>
      <c r="G940" s="78"/>
      <c r="H940" s="79"/>
      <c r="I940" s="80"/>
      <c r="J940" s="77"/>
      <c r="K940" s="81" t="b">
        <v>0</v>
      </c>
      <c r="L940" s="78"/>
      <c r="M940" s="82"/>
      <c r="N940" s="78"/>
      <c r="O940" s="78"/>
      <c r="P940" s="78"/>
      <c r="Q940" s="78"/>
      <c r="R940" s="78"/>
      <c r="S940" s="78"/>
      <c r="T940" s="83"/>
    </row>
    <row r="941" spans="1:20" ht="15" customHeight="1" x14ac:dyDescent="0.3">
      <c r="A941" s="73"/>
      <c r="B941" s="74"/>
      <c r="C941" s="75"/>
      <c r="D941" s="76"/>
      <c r="E941" s="77"/>
      <c r="F941" s="78"/>
      <c r="G941" s="78"/>
      <c r="H941" s="79"/>
      <c r="I941" s="80"/>
      <c r="J941" s="77"/>
      <c r="K941" s="81" t="b">
        <v>0</v>
      </c>
      <c r="L941" s="78"/>
      <c r="M941" s="82"/>
      <c r="N941" s="78"/>
      <c r="O941" s="78"/>
      <c r="P941" s="78"/>
      <c r="Q941" s="78"/>
      <c r="R941" s="78"/>
      <c r="S941" s="78"/>
      <c r="T941" s="83"/>
    </row>
    <row r="942" spans="1:20" ht="15" customHeight="1" x14ac:dyDescent="0.3">
      <c r="A942" s="73"/>
      <c r="B942" s="74"/>
      <c r="C942" s="75"/>
      <c r="D942" s="76"/>
      <c r="E942" s="77"/>
      <c r="F942" s="78"/>
      <c r="G942" s="78"/>
      <c r="H942" s="79"/>
      <c r="I942" s="80"/>
      <c r="J942" s="77"/>
      <c r="K942" s="81" t="b">
        <v>0</v>
      </c>
      <c r="L942" s="78"/>
      <c r="M942" s="82"/>
      <c r="N942" s="78"/>
      <c r="O942" s="78"/>
      <c r="P942" s="78"/>
      <c r="Q942" s="78"/>
      <c r="R942" s="78"/>
      <c r="S942" s="78"/>
      <c r="T942" s="83"/>
    </row>
    <row r="943" spans="1:20" ht="15" customHeight="1" x14ac:dyDescent="0.3">
      <c r="A943" s="73"/>
      <c r="B943" s="74"/>
      <c r="C943" s="75"/>
      <c r="D943" s="76"/>
      <c r="E943" s="77"/>
      <c r="F943" s="78"/>
      <c r="G943" s="78"/>
      <c r="H943" s="79"/>
      <c r="I943" s="80"/>
      <c r="J943" s="77"/>
      <c r="K943" s="81" t="b">
        <v>0</v>
      </c>
      <c r="L943" s="78"/>
      <c r="M943" s="82"/>
      <c r="N943" s="78"/>
      <c r="O943" s="78"/>
      <c r="P943" s="78"/>
      <c r="Q943" s="78"/>
      <c r="R943" s="78"/>
      <c r="S943" s="78"/>
      <c r="T943" s="83"/>
    </row>
    <row r="944" spans="1:20" ht="15" customHeight="1" x14ac:dyDescent="0.3">
      <c r="A944" s="73"/>
      <c r="B944" s="74"/>
      <c r="C944" s="75"/>
      <c r="D944" s="76"/>
      <c r="E944" s="77"/>
      <c r="F944" s="78"/>
      <c r="G944" s="78"/>
      <c r="H944" s="79"/>
      <c r="I944" s="80"/>
      <c r="J944" s="77"/>
      <c r="K944" s="81" t="b">
        <v>0</v>
      </c>
      <c r="L944" s="78"/>
      <c r="M944" s="82"/>
      <c r="N944" s="78"/>
      <c r="O944" s="78"/>
      <c r="P944" s="78"/>
      <c r="Q944" s="78"/>
      <c r="R944" s="78"/>
      <c r="S944" s="78"/>
      <c r="T944" s="83"/>
    </row>
    <row r="945" spans="1:20" ht="15" customHeight="1" x14ac:dyDescent="0.3">
      <c r="A945" s="73"/>
      <c r="B945" s="74"/>
      <c r="C945" s="75"/>
      <c r="D945" s="76"/>
      <c r="E945" s="77"/>
      <c r="F945" s="78"/>
      <c r="G945" s="78"/>
      <c r="H945" s="79"/>
      <c r="I945" s="80"/>
      <c r="J945" s="77"/>
      <c r="K945" s="81" t="b">
        <v>0</v>
      </c>
      <c r="L945" s="78"/>
      <c r="M945" s="82"/>
      <c r="N945" s="78"/>
      <c r="O945" s="78"/>
      <c r="P945" s="78"/>
      <c r="Q945" s="78"/>
      <c r="R945" s="78"/>
      <c r="S945" s="78"/>
      <c r="T945" s="83"/>
    </row>
    <row r="946" spans="1:20" ht="15" customHeight="1" x14ac:dyDescent="0.3">
      <c r="A946" s="73"/>
      <c r="B946" s="74"/>
      <c r="C946" s="75"/>
      <c r="D946" s="76"/>
      <c r="E946" s="77"/>
      <c r="F946" s="78"/>
      <c r="G946" s="78"/>
      <c r="H946" s="79"/>
      <c r="I946" s="80"/>
      <c r="J946" s="77"/>
      <c r="K946" s="81" t="b">
        <v>0</v>
      </c>
      <c r="L946" s="78"/>
      <c r="M946" s="82"/>
      <c r="N946" s="78"/>
      <c r="O946" s="78"/>
      <c r="P946" s="78"/>
      <c r="Q946" s="78"/>
      <c r="R946" s="78"/>
      <c r="S946" s="78"/>
      <c r="T946" s="83"/>
    </row>
    <row r="947" spans="1:20" ht="15" customHeight="1" x14ac:dyDescent="0.3">
      <c r="A947" s="73"/>
      <c r="B947" s="74"/>
      <c r="C947" s="75"/>
      <c r="D947" s="76"/>
      <c r="E947" s="77"/>
      <c r="F947" s="78"/>
      <c r="G947" s="78"/>
      <c r="H947" s="79"/>
      <c r="I947" s="80"/>
      <c r="J947" s="77"/>
      <c r="K947" s="81" t="b">
        <v>0</v>
      </c>
      <c r="L947" s="78"/>
      <c r="M947" s="82"/>
      <c r="N947" s="78"/>
      <c r="O947" s="78"/>
      <c r="P947" s="78"/>
      <c r="Q947" s="78"/>
      <c r="R947" s="78"/>
      <c r="S947" s="78"/>
      <c r="T947" s="83"/>
    </row>
    <row r="948" spans="1:20" ht="15" customHeight="1" x14ac:dyDescent="0.3">
      <c r="A948" s="73"/>
      <c r="B948" s="74"/>
      <c r="C948" s="75"/>
      <c r="D948" s="76"/>
      <c r="E948" s="77"/>
      <c r="F948" s="78"/>
      <c r="G948" s="78"/>
      <c r="H948" s="79"/>
      <c r="I948" s="80"/>
      <c r="J948" s="77"/>
      <c r="K948" s="81" t="b">
        <v>0</v>
      </c>
      <c r="L948" s="78"/>
      <c r="M948" s="82"/>
      <c r="N948" s="78"/>
      <c r="O948" s="78"/>
      <c r="P948" s="78"/>
      <c r="Q948" s="78"/>
      <c r="R948" s="78"/>
      <c r="S948" s="78"/>
      <c r="T948" s="83"/>
    </row>
    <row r="949" spans="1:20" ht="15" customHeight="1" x14ac:dyDescent="0.3">
      <c r="A949" s="73"/>
      <c r="B949" s="74"/>
      <c r="C949" s="75"/>
      <c r="D949" s="76"/>
      <c r="E949" s="77"/>
      <c r="F949" s="78"/>
      <c r="G949" s="78"/>
      <c r="H949" s="79"/>
      <c r="I949" s="80"/>
      <c r="J949" s="77"/>
      <c r="K949" s="81" t="b">
        <v>0</v>
      </c>
      <c r="L949" s="78"/>
      <c r="M949" s="82"/>
      <c r="N949" s="78"/>
      <c r="O949" s="78"/>
      <c r="P949" s="78"/>
      <c r="Q949" s="78"/>
      <c r="R949" s="78"/>
      <c r="S949" s="78"/>
      <c r="T949" s="83"/>
    </row>
    <row r="950" spans="1:20" ht="15" customHeight="1" x14ac:dyDescent="0.3">
      <c r="A950" s="73"/>
      <c r="B950" s="74"/>
      <c r="C950" s="75"/>
      <c r="D950" s="76"/>
      <c r="E950" s="77"/>
      <c r="F950" s="78"/>
      <c r="G950" s="78"/>
      <c r="H950" s="79"/>
      <c r="I950" s="80"/>
      <c r="J950" s="77"/>
      <c r="K950" s="81" t="b">
        <v>0</v>
      </c>
      <c r="L950" s="78"/>
      <c r="M950" s="82"/>
      <c r="N950" s="78"/>
      <c r="O950" s="78"/>
      <c r="P950" s="78"/>
      <c r="Q950" s="78"/>
      <c r="R950" s="78"/>
      <c r="S950" s="78"/>
      <c r="T950" s="83"/>
    </row>
    <row r="951" spans="1:20" ht="15" customHeight="1" x14ac:dyDescent="0.3">
      <c r="A951" s="73"/>
      <c r="B951" s="74"/>
      <c r="C951" s="75"/>
      <c r="D951" s="76"/>
      <c r="E951" s="77"/>
      <c r="F951" s="78"/>
      <c r="G951" s="78"/>
      <c r="H951" s="79"/>
      <c r="I951" s="80"/>
      <c r="J951" s="77"/>
      <c r="K951" s="81" t="b">
        <v>0</v>
      </c>
      <c r="L951" s="78"/>
      <c r="M951" s="82"/>
      <c r="N951" s="78"/>
      <c r="O951" s="78"/>
      <c r="P951" s="78"/>
      <c r="Q951" s="78"/>
      <c r="R951" s="78"/>
      <c r="S951" s="78"/>
      <c r="T951" s="83"/>
    </row>
    <row r="952" spans="1:20" ht="15" customHeight="1" x14ac:dyDescent="0.3">
      <c r="A952" s="73"/>
      <c r="B952" s="74"/>
      <c r="C952" s="75"/>
      <c r="D952" s="76"/>
      <c r="E952" s="77"/>
      <c r="F952" s="78"/>
      <c r="G952" s="78"/>
      <c r="H952" s="79"/>
      <c r="I952" s="80"/>
      <c r="J952" s="77"/>
      <c r="K952" s="81" t="b">
        <v>0</v>
      </c>
      <c r="L952" s="78"/>
      <c r="M952" s="82"/>
      <c r="N952" s="78"/>
      <c r="O952" s="78"/>
      <c r="P952" s="78"/>
      <c r="Q952" s="78"/>
      <c r="R952" s="78"/>
      <c r="S952" s="78"/>
      <c r="T952" s="83"/>
    </row>
    <row r="953" spans="1:20" ht="15" customHeight="1" x14ac:dyDescent="0.3">
      <c r="A953" s="73"/>
      <c r="B953" s="74"/>
      <c r="C953" s="75"/>
      <c r="D953" s="76"/>
      <c r="E953" s="77"/>
      <c r="F953" s="78"/>
      <c r="G953" s="78"/>
      <c r="H953" s="79"/>
      <c r="I953" s="80"/>
      <c r="J953" s="77"/>
      <c r="K953" s="81" t="b">
        <v>0</v>
      </c>
      <c r="L953" s="78"/>
      <c r="M953" s="82"/>
      <c r="N953" s="78"/>
      <c r="O953" s="78"/>
      <c r="P953" s="78"/>
      <c r="Q953" s="78"/>
      <c r="R953" s="78"/>
      <c r="S953" s="78"/>
      <c r="T953" s="83"/>
    </row>
    <row r="954" spans="1:20" ht="15" customHeight="1" x14ac:dyDescent="0.3">
      <c r="A954" s="73"/>
      <c r="B954" s="74"/>
      <c r="C954" s="75"/>
      <c r="D954" s="76"/>
      <c r="E954" s="77"/>
      <c r="F954" s="78"/>
      <c r="G954" s="78"/>
      <c r="H954" s="79"/>
      <c r="I954" s="80"/>
      <c r="J954" s="77"/>
      <c r="K954" s="81" t="b">
        <v>0</v>
      </c>
      <c r="L954" s="78"/>
      <c r="M954" s="82"/>
      <c r="N954" s="78"/>
      <c r="O954" s="78"/>
      <c r="P954" s="78"/>
      <c r="Q954" s="78"/>
      <c r="R954" s="78"/>
      <c r="S954" s="78"/>
      <c r="T954" s="83"/>
    </row>
    <row r="955" spans="1:20" ht="15" customHeight="1" x14ac:dyDescent="0.3">
      <c r="A955" s="73"/>
      <c r="B955" s="74"/>
      <c r="C955" s="75"/>
      <c r="D955" s="76"/>
      <c r="E955" s="77"/>
      <c r="F955" s="78"/>
      <c r="G955" s="78"/>
      <c r="H955" s="79"/>
      <c r="I955" s="80"/>
      <c r="J955" s="77"/>
      <c r="K955" s="81" t="b">
        <v>0</v>
      </c>
      <c r="L955" s="78"/>
      <c r="M955" s="82"/>
      <c r="N955" s="78"/>
      <c r="O955" s="78"/>
      <c r="P955" s="78"/>
      <c r="Q955" s="78"/>
      <c r="R955" s="78"/>
      <c r="S955" s="78"/>
      <c r="T955" s="83"/>
    </row>
    <row r="956" spans="1:20" ht="15" customHeight="1" x14ac:dyDescent="0.3">
      <c r="A956" s="73"/>
      <c r="B956" s="74"/>
      <c r="C956" s="75"/>
      <c r="D956" s="76"/>
      <c r="E956" s="77"/>
      <c r="F956" s="78"/>
      <c r="G956" s="78"/>
      <c r="H956" s="79"/>
      <c r="I956" s="80"/>
      <c r="J956" s="77"/>
      <c r="K956" s="81" t="b">
        <v>0</v>
      </c>
      <c r="L956" s="78"/>
      <c r="M956" s="82"/>
      <c r="N956" s="78"/>
      <c r="O956" s="78"/>
      <c r="P956" s="78"/>
      <c r="Q956" s="78"/>
      <c r="R956" s="78"/>
      <c r="S956" s="78"/>
      <c r="T956" s="83"/>
    </row>
    <row r="957" spans="1:20" ht="15" customHeight="1" x14ac:dyDescent="0.3">
      <c r="A957" s="73"/>
      <c r="B957" s="74"/>
      <c r="C957" s="75"/>
      <c r="D957" s="76"/>
      <c r="E957" s="77"/>
      <c r="F957" s="78"/>
      <c r="G957" s="78"/>
      <c r="H957" s="79"/>
      <c r="I957" s="80"/>
      <c r="J957" s="77"/>
      <c r="K957" s="81" t="b">
        <v>0</v>
      </c>
      <c r="L957" s="78"/>
      <c r="M957" s="82"/>
      <c r="N957" s="78"/>
      <c r="O957" s="78"/>
      <c r="P957" s="78"/>
      <c r="Q957" s="78"/>
      <c r="R957" s="78"/>
      <c r="S957" s="78"/>
      <c r="T957" s="83"/>
    </row>
    <row r="958" spans="1:20" ht="15" customHeight="1" x14ac:dyDescent="0.3">
      <c r="A958" s="73"/>
      <c r="B958" s="74"/>
      <c r="C958" s="75"/>
      <c r="D958" s="76"/>
      <c r="E958" s="77"/>
      <c r="F958" s="78"/>
      <c r="G958" s="78"/>
      <c r="H958" s="79"/>
      <c r="I958" s="80"/>
      <c r="J958" s="77"/>
      <c r="K958" s="81" t="b">
        <v>0</v>
      </c>
      <c r="L958" s="78"/>
      <c r="M958" s="82"/>
      <c r="N958" s="78"/>
      <c r="O958" s="78"/>
      <c r="P958" s="78"/>
      <c r="Q958" s="78"/>
      <c r="R958" s="78"/>
      <c r="S958" s="78"/>
      <c r="T958" s="83"/>
    </row>
    <row r="959" spans="1:20" ht="15" customHeight="1" x14ac:dyDescent="0.3">
      <c r="A959" s="73"/>
      <c r="B959" s="74"/>
      <c r="C959" s="75"/>
      <c r="D959" s="76"/>
      <c r="E959" s="77"/>
      <c r="F959" s="78"/>
      <c r="G959" s="78"/>
      <c r="H959" s="79"/>
      <c r="I959" s="80"/>
      <c r="J959" s="77"/>
      <c r="K959" s="81" t="b">
        <v>0</v>
      </c>
      <c r="L959" s="78"/>
      <c r="M959" s="82"/>
      <c r="N959" s="78"/>
      <c r="O959" s="78"/>
      <c r="P959" s="78"/>
      <c r="Q959" s="78"/>
      <c r="R959" s="78"/>
      <c r="S959" s="78"/>
      <c r="T959" s="83"/>
    </row>
    <row r="960" spans="1:20" ht="15" customHeight="1" x14ac:dyDescent="0.3">
      <c r="A960" s="73"/>
      <c r="B960" s="74"/>
      <c r="C960" s="75"/>
      <c r="D960" s="76"/>
      <c r="E960" s="77"/>
      <c r="F960" s="78"/>
      <c r="G960" s="78"/>
      <c r="H960" s="79"/>
      <c r="I960" s="80"/>
      <c r="J960" s="77"/>
      <c r="K960" s="81" t="b">
        <v>0</v>
      </c>
      <c r="L960" s="78"/>
      <c r="M960" s="82"/>
      <c r="N960" s="78"/>
      <c r="O960" s="78"/>
      <c r="P960" s="78"/>
      <c r="Q960" s="78"/>
      <c r="R960" s="78"/>
      <c r="S960" s="78"/>
      <c r="T960" s="83"/>
    </row>
    <row r="961" spans="1:20" ht="15" customHeight="1" x14ac:dyDescent="0.3">
      <c r="A961" s="73"/>
      <c r="B961" s="74"/>
      <c r="C961" s="75"/>
      <c r="D961" s="76"/>
      <c r="E961" s="77"/>
      <c r="F961" s="78"/>
      <c r="G961" s="78"/>
      <c r="H961" s="79"/>
      <c r="I961" s="80"/>
      <c r="J961" s="77"/>
      <c r="K961" s="81" t="b">
        <v>0</v>
      </c>
      <c r="L961" s="78"/>
      <c r="M961" s="82"/>
      <c r="N961" s="78"/>
      <c r="O961" s="78"/>
      <c r="P961" s="78"/>
      <c r="Q961" s="78"/>
      <c r="R961" s="78"/>
      <c r="S961" s="78"/>
      <c r="T961" s="83"/>
    </row>
    <row r="962" spans="1:20" ht="15" customHeight="1" x14ac:dyDescent="0.3">
      <c r="A962" s="73"/>
      <c r="B962" s="74"/>
      <c r="C962" s="75"/>
      <c r="D962" s="76"/>
      <c r="E962" s="77"/>
      <c r="F962" s="78"/>
      <c r="G962" s="78"/>
      <c r="H962" s="79"/>
      <c r="I962" s="80"/>
      <c r="J962" s="77"/>
      <c r="K962" s="81" t="b">
        <v>0</v>
      </c>
      <c r="L962" s="78"/>
      <c r="M962" s="82"/>
      <c r="N962" s="78"/>
      <c r="O962" s="78"/>
      <c r="P962" s="78"/>
      <c r="Q962" s="78"/>
      <c r="R962" s="78"/>
      <c r="S962" s="78"/>
      <c r="T962" s="83"/>
    </row>
    <row r="963" spans="1:20" ht="15" customHeight="1" x14ac:dyDescent="0.3">
      <c r="A963" s="73"/>
      <c r="B963" s="74"/>
      <c r="C963" s="75"/>
      <c r="D963" s="76"/>
      <c r="E963" s="77"/>
      <c r="F963" s="78"/>
      <c r="G963" s="78"/>
      <c r="H963" s="79"/>
      <c r="I963" s="80"/>
      <c r="J963" s="77"/>
      <c r="K963" s="81" t="b">
        <v>0</v>
      </c>
      <c r="L963" s="78"/>
      <c r="M963" s="82"/>
      <c r="N963" s="78"/>
      <c r="O963" s="78"/>
      <c r="P963" s="78"/>
      <c r="Q963" s="78"/>
      <c r="R963" s="78"/>
      <c r="S963" s="78"/>
      <c r="T963" s="83"/>
    </row>
    <row r="964" spans="1:20" ht="15" customHeight="1" x14ac:dyDescent="0.3">
      <c r="A964" s="73"/>
      <c r="B964" s="74"/>
      <c r="C964" s="75"/>
      <c r="D964" s="76"/>
      <c r="E964" s="77"/>
      <c r="F964" s="78"/>
      <c r="G964" s="78"/>
      <c r="H964" s="79"/>
      <c r="I964" s="80"/>
      <c r="J964" s="77"/>
      <c r="K964" s="81" t="b">
        <v>0</v>
      </c>
      <c r="L964" s="78"/>
      <c r="M964" s="82"/>
      <c r="N964" s="78"/>
      <c r="O964" s="78"/>
      <c r="P964" s="78"/>
      <c r="Q964" s="78"/>
      <c r="R964" s="78"/>
      <c r="S964" s="78"/>
      <c r="T964" s="83"/>
    </row>
    <row r="965" spans="1:20" ht="15" customHeight="1" x14ac:dyDescent="0.3">
      <c r="A965" s="73"/>
      <c r="B965" s="74"/>
      <c r="C965" s="75"/>
      <c r="D965" s="76"/>
      <c r="E965" s="77"/>
      <c r="F965" s="78"/>
      <c r="G965" s="78"/>
      <c r="H965" s="79"/>
      <c r="I965" s="80"/>
      <c r="J965" s="77"/>
      <c r="K965" s="81" t="b">
        <v>0</v>
      </c>
      <c r="L965" s="78"/>
      <c r="M965" s="82"/>
      <c r="N965" s="78"/>
      <c r="O965" s="78"/>
      <c r="P965" s="78"/>
      <c r="Q965" s="78"/>
      <c r="R965" s="78"/>
      <c r="S965" s="78"/>
      <c r="T965" s="83"/>
    </row>
    <row r="966" spans="1:20" ht="15" customHeight="1" x14ac:dyDescent="0.3">
      <c r="A966" s="73"/>
      <c r="B966" s="74"/>
      <c r="C966" s="75"/>
      <c r="D966" s="76"/>
      <c r="E966" s="77"/>
      <c r="F966" s="78"/>
      <c r="G966" s="78"/>
      <c r="H966" s="79"/>
      <c r="I966" s="80"/>
      <c r="J966" s="77"/>
      <c r="K966" s="81" t="b">
        <v>0</v>
      </c>
      <c r="L966" s="78"/>
      <c r="M966" s="82"/>
      <c r="N966" s="78"/>
      <c r="O966" s="78"/>
      <c r="P966" s="78"/>
      <c r="Q966" s="78"/>
      <c r="R966" s="78"/>
      <c r="S966" s="78"/>
      <c r="T966" s="83"/>
    </row>
    <row r="967" spans="1:20" ht="15" customHeight="1" x14ac:dyDescent="0.3">
      <c r="A967" s="73"/>
      <c r="B967" s="74"/>
      <c r="C967" s="75"/>
      <c r="D967" s="76"/>
      <c r="E967" s="77"/>
      <c r="F967" s="78"/>
      <c r="G967" s="78"/>
      <c r="H967" s="79"/>
      <c r="I967" s="80"/>
      <c r="J967" s="77"/>
      <c r="K967" s="81" t="b">
        <v>0</v>
      </c>
      <c r="L967" s="78"/>
      <c r="M967" s="82"/>
      <c r="N967" s="78"/>
      <c r="O967" s="78"/>
      <c r="P967" s="78"/>
      <c r="Q967" s="78"/>
      <c r="R967" s="78"/>
      <c r="S967" s="78"/>
      <c r="T967" s="83"/>
    </row>
    <row r="968" spans="1:20" ht="15" customHeight="1" x14ac:dyDescent="0.3">
      <c r="A968" s="73"/>
      <c r="B968" s="74"/>
      <c r="C968" s="75"/>
      <c r="D968" s="76"/>
      <c r="E968" s="77"/>
      <c r="F968" s="78"/>
      <c r="G968" s="78"/>
      <c r="H968" s="79"/>
      <c r="I968" s="80"/>
      <c r="J968" s="77"/>
      <c r="K968" s="81" t="b">
        <v>0</v>
      </c>
      <c r="L968" s="78"/>
      <c r="M968" s="82"/>
      <c r="N968" s="78"/>
      <c r="O968" s="78"/>
      <c r="P968" s="78"/>
      <c r="Q968" s="78"/>
      <c r="R968" s="78"/>
      <c r="S968" s="78"/>
      <c r="T968" s="83"/>
    </row>
    <row r="969" spans="1:20" ht="15" customHeight="1" x14ac:dyDescent="0.3">
      <c r="A969" s="73"/>
      <c r="B969" s="74"/>
      <c r="C969" s="75"/>
      <c r="D969" s="76"/>
      <c r="E969" s="77"/>
      <c r="F969" s="78"/>
      <c r="G969" s="78"/>
      <c r="H969" s="79"/>
      <c r="I969" s="80"/>
      <c r="J969" s="77"/>
      <c r="K969" s="81" t="b">
        <v>0</v>
      </c>
      <c r="L969" s="78"/>
      <c r="M969" s="82"/>
      <c r="N969" s="78"/>
      <c r="O969" s="78"/>
      <c r="P969" s="78"/>
      <c r="Q969" s="78"/>
      <c r="R969" s="78"/>
      <c r="S969" s="78"/>
      <c r="T969" s="83"/>
    </row>
    <row r="970" spans="1:20" ht="15" customHeight="1" x14ac:dyDescent="0.3">
      <c r="A970" s="73"/>
      <c r="B970" s="74"/>
      <c r="C970" s="75"/>
      <c r="D970" s="76"/>
      <c r="E970" s="77"/>
      <c r="F970" s="78"/>
      <c r="G970" s="78"/>
      <c r="H970" s="79"/>
      <c r="I970" s="80"/>
      <c r="J970" s="77"/>
      <c r="K970" s="81" t="b">
        <v>0</v>
      </c>
      <c r="L970" s="78"/>
      <c r="M970" s="82"/>
      <c r="N970" s="78"/>
      <c r="O970" s="78"/>
      <c r="P970" s="78"/>
      <c r="Q970" s="78"/>
      <c r="R970" s="78"/>
      <c r="S970" s="78"/>
      <c r="T970" s="83"/>
    </row>
    <row r="971" spans="1:20" ht="15" customHeight="1" x14ac:dyDescent="0.3">
      <c r="A971" s="73"/>
      <c r="B971" s="74"/>
      <c r="C971" s="75"/>
      <c r="D971" s="76"/>
      <c r="E971" s="77"/>
      <c r="F971" s="78"/>
      <c r="G971" s="78"/>
      <c r="H971" s="79"/>
      <c r="I971" s="80"/>
      <c r="J971" s="77"/>
      <c r="K971" s="81" t="b">
        <v>0</v>
      </c>
      <c r="L971" s="78"/>
      <c r="M971" s="82"/>
      <c r="N971" s="78"/>
      <c r="O971" s="78"/>
      <c r="P971" s="78"/>
      <c r="Q971" s="78"/>
      <c r="R971" s="78"/>
      <c r="S971" s="78"/>
      <c r="T971" s="83"/>
    </row>
    <row r="972" spans="1:20" ht="15" customHeight="1" x14ac:dyDescent="0.3">
      <c r="A972" s="73"/>
      <c r="B972" s="74"/>
      <c r="C972" s="75"/>
      <c r="D972" s="76"/>
      <c r="E972" s="77"/>
      <c r="F972" s="78"/>
      <c r="G972" s="78"/>
      <c r="H972" s="79"/>
      <c r="I972" s="80"/>
      <c r="J972" s="77"/>
      <c r="K972" s="81" t="b">
        <v>0</v>
      </c>
      <c r="L972" s="78"/>
      <c r="M972" s="82"/>
      <c r="N972" s="78"/>
      <c r="O972" s="78"/>
      <c r="P972" s="78"/>
      <c r="Q972" s="78"/>
      <c r="R972" s="78"/>
      <c r="S972" s="78"/>
      <c r="T972" s="83"/>
    </row>
    <row r="973" spans="1:20" ht="15" customHeight="1" x14ac:dyDescent="0.3">
      <c r="A973" s="73"/>
      <c r="B973" s="74"/>
      <c r="C973" s="75"/>
      <c r="D973" s="76"/>
      <c r="E973" s="77"/>
      <c r="F973" s="78"/>
      <c r="G973" s="78"/>
      <c r="H973" s="79"/>
      <c r="I973" s="80"/>
      <c r="J973" s="77"/>
      <c r="K973" s="81" t="b">
        <v>0</v>
      </c>
      <c r="L973" s="78"/>
      <c r="M973" s="82"/>
      <c r="N973" s="78"/>
      <c r="O973" s="78"/>
      <c r="P973" s="78"/>
      <c r="Q973" s="78"/>
      <c r="R973" s="78"/>
      <c r="S973" s="78"/>
      <c r="T973" s="83"/>
    </row>
    <row r="974" spans="1:20" ht="15" customHeight="1" x14ac:dyDescent="0.3">
      <c r="A974" s="73"/>
      <c r="B974" s="74"/>
      <c r="C974" s="75"/>
      <c r="D974" s="76"/>
      <c r="E974" s="77"/>
      <c r="F974" s="78"/>
      <c r="G974" s="78"/>
      <c r="H974" s="79"/>
      <c r="I974" s="80"/>
      <c r="J974" s="77"/>
      <c r="K974" s="81" t="b">
        <v>0</v>
      </c>
      <c r="L974" s="78"/>
      <c r="M974" s="82"/>
      <c r="N974" s="78"/>
      <c r="O974" s="78"/>
      <c r="P974" s="78"/>
      <c r="Q974" s="78"/>
      <c r="R974" s="78"/>
      <c r="S974" s="78"/>
      <c r="T974" s="83"/>
    </row>
    <row r="975" spans="1:20" ht="15" customHeight="1" x14ac:dyDescent="0.3">
      <c r="A975" s="73"/>
      <c r="B975" s="74"/>
      <c r="C975" s="75"/>
      <c r="D975" s="76"/>
      <c r="E975" s="77"/>
      <c r="F975" s="78"/>
      <c r="G975" s="78"/>
      <c r="H975" s="79"/>
      <c r="I975" s="80"/>
      <c r="J975" s="77"/>
      <c r="K975" s="81" t="b">
        <v>0</v>
      </c>
      <c r="L975" s="78"/>
      <c r="M975" s="82"/>
      <c r="N975" s="78"/>
      <c r="O975" s="78"/>
      <c r="P975" s="78"/>
      <c r="Q975" s="78"/>
      <c r="R975" s="78"/>
      <c r="S975" s="78"/>
      <c r="T975" s="83"/>
    </row>
    <row r="976" spans="1:20" ht="15" customHeight="1" x14ac:dyDescent="0.3">
      <c r="A976" s="73"/>
      <c r="B976" s="74"/>
      <c r="C976" s="75"/>
      <c r="D976" s="76"/>
      <c r="E976" s="77"/>
      <c r="F976" s="78"/>
      <c r="G976" s="78"/>
      <c r="H976" s="79"/>
      <c r="I976" s="80"/>
      <c r="J976" s="77"/>
      <c r="K976" s="81" t="b">
        <v>0</v>
      </c>
      <c r="L976" s="78"/>
      <c r="M976" s="82"/>
      <c r="N976" s="78"/>
      <c r="O976" s="78"/>
      <c r="P976" s="78"/>
      <c r="Q976" s="78"/>
      <c r="R976" s="78"/>
      <c r="S976" s="78"/>
      <c r="T976" s="83"/>
    </row>
    <row r="977" spans="1:20" ht="15" customHeight="1" x14ac:dyDescent="0.3">
      <c r="A977" s="73"/>
      <c r="B977" s="74"/>
      <c r="C977" s="75"/>
      <c r="D977" s="76"/>
      <c r="E977" s="77"/>
      <c r="F977" s="78"/>
      <c r="G977" s="78"/>
      <c r="H977" s="79"/>
      <c r="I977" s="80"/>
      <c r="J977" s="77"/>
      <c r="K977" s="81" t="b">
        <v>0</v>
      </c>
      <c r="L977" s="78"/>
      <c r="M977" s="82"/>
      <c r="N977" s="78"/>
      <c r="O977" s="78"/>
      <c r="P977" s="78"/>
      <c r="Q977" s="78"/>
      <c r="R977" s="78"/>
      <c r="S977" s="78"/>
      <c r="T977" s="83"/>
    </row>
    <row r="978" spans="1:20" ht="15" customHeight="1" x14ac:dyDescent="0.3">
      <c r="A978" s="73"/>
      <c r="B978" s="74"/>
      <c r="C978" s="75"/>
      <c r="D978" s="76"/>
      <c r="E978" s="77"/>
      <c r="F978" s="78"/>
      <c r="G978" s="78"/>
      <c r="H978" s="79"/>
      <c r="I978" s="80"/>
      <c r="J978" s="77"/>
      <c r="K978" s="81" t="b">
        <v>0</v>
      </c>
      <c r="L978" s="78"/>
      <c r="M978" s="82"/>
      <c r="N978" s="78"/>
      <c r="O978" s="78"/>
      <c r="P978" s="78"/>
      <c r="Q978" s="78"/>
      <c r="R978" s="78"/>
      <c r="S978" s="78"/>
      <c r="T978" s="83"/>
    </row>
    <row r="979" spans="1:20" ht="15" customHeight="1" x14ac:dyDescent="0.3">
      <c r="A979" s="73"/>
      <c r="B979" s="74"/>
      <c r="C979" s="75"/>
      <c r="D979" s="76"/>
      <c r="E979" s="77"/>
      <c r="F979" s="78"/>
      <c r="G979" s="78"/>
      <c r="H979" s="79"/>
      <c r="I979" s="80"/>
      <c r="J979" s="77"/>
      <c r="K979" s="81" t="b">
        <v>0</v>
      </c>
      <c r="L979" s="78"/>
      <c r="M979" s="82"/>
      <c r="N979" s="78"/>
      <c r="O979" s="78"/>
      <c r="P979" s="78"/>
      <c r="Q979" s="78"/>
      <c r="R979" s="78"/>
      <c r="S979" s="78"/>
      <c r="T979" s="83"/>
    </row>
    <row r="980" spans="1:20" ht="15" customHeight="1" x14ac:dyDescent="0.3">
      <c r="A980" s="73"/>
      <c r="B980" s="74"/>
      <c r="C980" s="75"/>
      <c r="D980" s="76"/>
      <c r="E980" s="77"/>
      <c r="F980" s="78"/>
      <c r="G980" s="78"/>
      <c r="H980" s="79"/>
      <c r="I980" s="80"/>
      <c r="J980" s="77"/>
      <c r="K980" s="81" t="b">
        <v>0</v>
      </c>
      <c r="L980" s="78"/>
      <c r="M980" s="82"/>
      <c r="N980" s="78"/>
      <c r="O980" s="78"/>
      <c r="P980" s="78"/>
      <c r="Q980" s="78"/>
      <c r="R980" s="78"/>
      <c r="S980" s="78"/>
      <c r="T980" s="83"/>
    </row>
    <row r="981" spans="1:20" ht="15" customHeight="1" x14ac:dyDescent="0.3">
      <c r="A981" s="73"/>
      <c r="B981" s="74"/>
      <c r="C981" s="75"/>
      <c r="D981" s="76"/>
      <c r="E981" s="77"/>
      <c r="F981" s="78"/>
      <c r="G981" s="78"/>
      <c r="H981" s="79"/>
      <c r="I981" s="80"/>
      <c r="J981" s="77"/>
      <c r="K981" s="81" t="b">
        <v>0</v>
      </c>
      <c r="L981" s="78"/>
      <c r="M981" s="82"/>
      <c r="N981" s="78"/>
      <c r="O981" s="78"/>
      <c r="P981" s="78"/>
      <c r="Q981" s="78"/>
      <c r="R981" s="78"/>
      <c r="S981" s="78"/>
      <c r="T981" s="83"/>
    </row>
    <row r="982" spans="1:20" ht="15" customHeight="1" x14ac:dyDescent="0.3">
      <c r="A982" s="73"/>
      <c r="B982" s="74"/>
      <c r="C982" s="75"/>
      <c r="D982" s="76"/>
      <c r="E982" s="77"/>
      <c r="F982" s="78"/>
      <c r="G982" s="78"/>
      <c r="H982" s="79"/>
      <c r="I982" s="80"/>
      <c r="J982" s="77"/>
      <c r="K982" s="81" t="b">
        <v>0</v>
      </c>
      <c r="L982" s="78"/>
      <c r="M982" s="82"/>
      <c r="N982" s="78"/>
      <c r="O982" s="78"/>
      <c r="P982" s="78"/>
      <c r="Q982" s="78"/>
      <c r="R982" s="78"/>
      <c r="S982" s="78"/>
      <c r="T982" s="83"/>
    </row>
    <row r="983" spans="1:20" ht="15" customHeight="1" x14ac:dyDescent="0.3">
      <c r="A983" s="73"/>
      <c r="B983" s="74"/>
      <c r="C983" s="75"/>
      <c r="D983" s="76"/>
      <c r="E983" s="77"/>
      <c r="F983" s="78"/>
      <c r="G983" s="78"/>
      <c r="H983" s="79"/>
      <c r="I983" s="80"/>
      <c r="J983" s="77"/>
      <c r="K983" s="81" t="b">
        <v>0</v>
      </c>
      <c r="L983" s="78"/>
      <c r="M983" s="82"/>
      <c r="N983" s="78"/>
      <c r="O983" s="78"/>
      <c r="P983" s="78"/>
      <c r="Q983" s="78"/>
      <c r="R983" s="78"/>
      <c r="S983" s="78"/>
      <c r="T983" s="83"/>
    </row>
    <row r="984" spans="1:20" ht="15" customHeight="1" x14ac:dyDescent="0.3">
      <c r="A984" s="73"/>
      <c r="B984" s="74"/>
      <c r="C984" s="75"/>
      <c r="D984" s="76"/>
      <c r="E984" s="77"/>
      <c r="F984" s="78"/>
      <c r="G984" s="78"/>
      <c r="H984" s="79"/>
      <c r="I984" s="80"/>
      <c r="J984" s="77"/>
      <c r="K984" s="81" t="b">
        <v>0</v>
      </c>
      <c r="L984" s="78"/>
      <c r="M984" s="82"/>
      <c r="N984" s="78"/>
      <c r="O984" s="78"/>
      <c r="P984" s="78"/>
      <c r="Q984" s="78"/>
      <c r="R984" s="78"/>
      <c r="S984" s="78"/>
      <c r="T984" s="83"/>
    </row>
    <row r="985" spans="1:20" ht="15" customHeight="1" x14ac:dyDescent="0.3">
      <c r="A985" s="73"/>
      <c r="B985" s="74"/>
      <c r="C985" s="75"/>
      <c r="D985" s="76"/>
      <c r="E985" s="77"/>
      <c r="F985" s="78"/>
      <c r="G985" s="78"/>
      <c r="H985" s="79"/>
      <c r="I985" s="80"/>
      <c r="J985" s="77"/>
      <c r="K985" s="81" t="b">
        <v>0</v>
      </c>
      <c r="L985" s="78"/>
      <c r="M985" s="82"/>
      <c r="N985" s="78"/>
      <c r="O985" s="78"/>
      <c r="P985" s="78"/>
      <c r="Q985" s="78"/>
      <c r="R985" s="78"/>
      <c r="S985" s="78"/>
      <c r="T985" s="83"/>
    </row>
    <row r="986" spans="1:20" ht="15" customHeight="1" x14ac:dyDescent="0.3">
      <c r="A986" s="73"/>
      <c r="B986" s="74"/>
      <c r="C986" s="75"/>
      <c r="D986" s="76"/>
      <c r="E986" s="77"/>
      <c r="F986" s="78"/>
      <c r="G986" s="78"/>
      <c r="H986" s="79"/>
      <c r="I986" s="80"/>
      <c r="J986" s="77"/>
      <c r="K986" s="81" t="b">
        <v>0</v>
      </c>
      <c r="L986" s="78"/>
      <c r="M986" s="82"/>
      <c r="N986" s="78"/>
      <c r="O986" s="78"/>
      <c r="P986" s="78"/>
      <c r="Q986" s="78"/>
      <c r="R986" s="78"/>
      <c r="S986" s="78"/>
      <c r="T986" s="83"/>
    </row>
    <row r="987" spans="1:20" ht="15" customHeight="1" x14ac:dyDescent="0.3">
      <c r="A987" s="73"/>
      <c r="B987" s="74"/>
      <c r="C987" s="75"/>
      <c r="D987" s="76"/>
      <c r="E987" s="77"/>
      <c r="F987" s="78"/>
      <c r="G987" s="78"/>
      <c r="H987" s="79"/>
      <c r="I987" s="80"/>
      <c r="J987" s="77"/>
      <c r="K987" s="81" t="b">
        <v>0</v>
      </c>
      <c r="L987" s="78"/>
      <c r="M987" s="82"/>
      <c r="N987" s="78"/>
      <c r="O987" s="78"/>
      <c r="P987" s="78"/>
      <c r="Q987" s="78"/>
      <c r="R987" s="78"/>
      <c r="S987" s="78"/>
      <c r="T987" s="83"/>
    </row>
    <row r="988" spans="1:20" ht="15" customHeight="1" x14ac:dyDescent="0.3">
      <c r="A988" s="73"/>
      <c r="B988" s="74"/>
      <c r="C988" s="75"/>
      <c r="D988" s="76"/>
      <c r="E988" s="77"/>
      <c r="F988" s="78"/>
      <c r="G988" s="78"/>
      <c r="H988" s="79"/>
      <c r="I988" s="80"/>
      <c r="J988" s="77"/>
      <c r="K988" s="81" t="b">
        <v>0</v>
      </c>
      <c r="L988" s="78"/>
      <c r="M988" s="82"/>
      <c r="N988" s="78"/>
      <c r="O988" s="78"/>
      <c r="P988" s="78"/>
      <c r="Q988" s="78"/>
      <c r="R988" s="78"/>
      <c r="S988" s="78"/>
      <c r="T988" s="83"/>
    </row>
    <row r="989" spans="1:20" ht="15" customHeight="1" x14ac:dyDescent="0.3">
      <c r="A989" s="73"/>
      <c r="B989" s="74"/>
      <c r="C989" s="75"/>
      <c r="D989" s="76"/>
      <c r="E989" s="77"/>
      <c r="F989" s="78"/>
      <c r="G989" s="78"/>
      <c r="H989" s="79"/>
      <c r="I989" s="80"/>
      <c r="J989" s="77"/>
      <c r="K989" s="81" t="b">
        <v>0</v>
      </c>
      <c r="L989" s="78"/>
      <c r="M989" s="82"/>
      <c r="N989" s="78"/>
      <c r="O989" s="78"/>
      <c r="P989" s="78"/>
      <c r="Q989" s="78"/>
      <c r="R989" s="78"/>
      <c r="S989" s="78"/>
      <c r="T989" s="83"/>
    </row>
    <row r="990" spans="1:20" ht="15" customHeight="1" x14ac:dyDescent="0.3">
      <c r="A990" s="73"/>
      <c r="B990" s="74"/>
      <c r="C990" s="75"/>
      <c r="D990" s="76"/>
      <c r="E990" s="77"/>
      <c r="F990" s="78"/>
      <c r="G990" s="78"/>
      <c r="H990" s="79"/>
      <c r="I990" s="80"/>
      <c r="J990" s="77"/>
      <c r="K990" s="81" t="b">
        <v>0</v>
      </c>
      <c r="L990" s="78"/>
      <c r="M990" s="82"/>
      <c r="N990" s="78"/>
      <c r="O990" s="78"/>
      <c r="P990" s="78"/>
      <c r="Q990" s="78"/>
      <c r="R990" s="78"/>
      <c r="S990" s="78"/>
      <c r="T990" s="83"/>
    </row>
    <row r="991" spans="1:20" ht="15" customHeight="1" x14ac:dyDescent="0.3">
      <c r="A991" s="73"/>
      <c r="B991" s="74"/>
      <c r="C991" s="75"/>
      <c r="D991" s="76"/>
      <c r="E991" s="77"/>
      <c r="F991" s="78"/>
      <c r="G991" s="78"/>
      <c r="H991" s="79"/>
      <c r="I991" s="80"/>
      <c r="J991" s="77"/>
      <c r="K991" s="81" t="b">
        <v>0</v>
      </c>
      <c r="L991" s="78"/>
      <c r="M991" s="82"/>
      <c r="N991" s="78"/>
      <c r="O991" s="78"/>
      <c r="P991" s="78"/>
      <c r="Q991" s="78"/>
      <c r="R991" s="78"/>
      <c r="S991" s="78"/>
      <c r="T991" s="83"/>
    </row>
    <row r="992" spans="1:20" ht="15" customHeight="1" x14ac:dyDescent="0.3">
      <c r="A992" s="73"/>
      <c r="B992" s="74"/>
      <c r="C992" s="75"/>
      <c r="D992" s="76"/>
      <c r="E992" s="77"/>
      <c r="F992" s="78"/>
      <c r="G992" s="78"/>
      <c r="H992" s="79"/>
      <c r="I992" s="80"/>
      <c r="J992" s="77"/>
      <c r="K992" s="81" t="b">
        <v>0</v>
      </c>
      <c r="L992" s="78"/>
      <c r="M992" s="82"/>
      <c r="N992" s="78"/>
      <c r="O992" s="78"/>
      <c r="P992" s="78"/>
      <c r="Q992" s="78"/>
      <c r="R992" s="78"/>
      <c r="S992" s="78"/>
      <c r="T992" s="83"/>
    </row>
    <row r="993" spans="1:20" ht="15" customHeight="1" x14ac:dyDescent="0.3">
      <c r="A993" s="73"/>
      <c r="B993" s="74"/>
      <c r="C993" s="75"/>
      <c r="D993" s="76"/>
      <c r="E993" s="77"/>
      <c r="F993" s="78"/>
      <c r="G993" s="78"/>
      <c r="H993" s="79"/>
      <c r="I993" s="80"/>
      <c r="J993" s="77"/>
      <c r="K993" s="81" t="b">
        <v>0</v>
      </c>
      <c r="L993" s="78"/>
      <c r="M993" s="82"/>
      <c r="N993" s="78"/>
      <c r="O993" s="78"/>
      <c r="P993" s="78"/>
      <c r="Q993" s="78"/>
      <c r="R993" s="78"/>
      <c r="S993" s="78"/>
      <c r="T993" s="83"/>
    </row>
    <row r="994" spans="1:20" ht="15" customHeight="1" x14ac:dyDescent="0.3">
      <c r="A994" s="73"/>
      <c r="B994" s="74"/>
      <c r="C994" s="75"/>
      <c r="D994" s="76"/>
      <c r="E994" s="77"/>
      <c r="F994" s="78"/>
      <c r="G994" s="78"/>
      <c r="H994" s="79"/>
      <c r="I994" s="80"/>
      <c r="J994" s="77"/>
      <c r="K994" s="81" t="b">
        <v>0</v>
      </c>
      <c r="L994" s="78"/>
      <c r="M994" s="82"/>
      <c r="N994" s="78"/>
      <c r="O994" s="78"/>
      <c r="P994" s="78"/>
      <c r="Q994" s="78"/>
      <c r="R994" s="78"/>
      <c r="S994" s="78"/>
      <c r="T994" s="83"/>
    </row>
    <row r="995" spans="1:20" ht="15" customHeight="1" x14ac:dyDescent="0.3">
      <c r="A995" s="73"/>
      <c r="B995" s="74"/>
      <c r="C995" s="75"/>
      <c r="D995" s="76"/>
      <c r="E995" s="77"/>
      <c r="F995" s="78"/>
      <c r="G995" s="78"/>
      <c r="H995" s="79"/>
      <c r="I995" s="80"/>
      <c r="J995" s="77"/>
      <c r="K995" s="81" t="b">
        <v>0</v>
      </c>
      <c r="L995" s="78"/>
      <c r="M995" s="82"/>
      <c r="N995" s="78"/>
      <c r="O995" s="78"/>
      <c r="P995" s="78"/>
      <c r="Q995" s="78"/>
      <c r="R995" s="78"/>
      <c r="S995" s="78"/>
      <c r="T995" s="83"/>
    </row>
    <row r="996" spans="1:20" ht="15" customHeight="1" x14ac:dyDescent="0.3">
      <c r="A996" s="73"/>
      <c r="B996" s="74"/>
      <c r="C996" s="75"/>
      <c r="D996" s="76"/>
      <c r="E996" s="77"/>
      <c r="F996" s="78"/>
      <c r="G996" s="78"/>
      <c r="H996" s="79"/>
      <c r="I996" s="80"/>
      <c r="J996" s="77"/>
      <c r="K996" s="81" t="b">
        <v>0</v>
      </c>
      <c r="L996" s="78"/>
      <c r="M996" s="82"/>
      <c r="N996" s="78"/>
      <c r="O996" s="78"/>
      <c r="P996" s="78"/>
      <c r="Q996" s="78"/>
      <c r="R996" s="78"/>
      <c r="S996" s="78"/>
      <c r="T996" s="83"/>
    </row>
    <row r="997" spans="1:20" ht="15" customHeight="1" x14ac:dyDescent="0.3">
      <c r="A997" s="73"/>
      <c r="B997" s="74"/>
      <c r="C997" s="75"/>
      <c r="D997" s="76"/>
      <c r="E997" s="77"/>
      <c r="F997" s="78"/>
      <c r="G997" s="78"/>
      <c r="H997" s="79"/>
      <c r="I997" s="80"/>
      <c r="J997" s="77"/>
      <c r="K997" s="81" t="b">
        <v>0</v>
      </c>
      <c r="L997" s="78"/>
      <c r="M997" s="82"/>
      <c r="N997" s="78"/>
      <c r="O997" s="78"/>
      <c r="P997" s="78"/>
      <c r="Q997" s="78"/>
      <c r="R997" s="78"/>
      <c r="S997" s="78"/>
      <c r="T997" s="83"/>
    </row>
    <row r="998" spans="1:20" ht="15" customHeight="1" x14ac:dyDescent="0.3">
      <c r="A998" s="73"/>
      <c r="B998" s="74"/>
      <c r="C998" s="75"/>
      <c r="D998" s="76"/>
      <c r="E998" s="77"/>
      <c r="F998" s="78"/>
      <c r="G998" s="78"/>
      <c r="H998" s="79"/>
      <c r="I998" s="80"/>
      <c r="J998" s="77"/>
      <c r="K998" s="81" t="b">
        <v>0</v>
      </c>
      <c r="L998" s="78"/>
      <c r="M998" s="82"/>
      <c r="N998" s="78"/>
      <c r="O998" s="78"/>
      <c r="P998" s="78"/>
      <c r="Q998" s="78"/>
      <c r="R998" s="78"/>
      <c r="S998" s="78"/>
      <c r="T998" s="83"/>
    </row>
    <row r="999" spans="1:20" ht="15" customHeight="1" x14ac:dyDescent="0.3">
      <c r="A999" s="73"/>
      <c r="B999" s="74"/>
      <c r="C999" s="75"/>
      <c r="D999" s="76"/>
      <c r="E999" s="77"/>
      <c r="F999" s="78"/>
      <c r="G999" s="78"/>
      <c r="H999" s="79"/>
      <c r="I999" s="80"/>
      <c r="J999" s="77"/>
      <c r="K999" s="81" t="b">
        <v>0</v>
      </c>
      <c r="L999" s="78"/>
      <c r="M999" s="82"/>
      <c r="N999" s="78"/>
      <c r="O999" s="78"/>
      <c r="P999" s="78"/>
      <c r="Q999" s="78"/>
      <c r="R999" s="78"/>
      <c r="S999" s="78"/>
      <c r="T999" s="83"/>
    </row>
    <row r="1000" spans="1:20" ht="15" customHeight="1" x14ac:dyDescent="0.3">
      <c r="A1000" s="73"/>
      <c r="B1000" s="74"/>
      <c r="C1000" s="75"/>
      <c r="D1000" s="76"/>
      <c r="E1000" s="77"/>
      <c r="F1000" s="78"/>
      <c r="G1000" s="78"/>
      <c r="H1000" s="79"/>
      <c r="I1000" s="80"/>
      <c r="J1000" s="77"/>
      <c r="K1000" s="81" t="b">
        <v>0</v>
      </c>
      <c r="L1000" s="78"/>
      <c r="M1000" s="82"/>
      <c r="N1000" s="78"/>
      <c r="O1000" s="78"/>
      <c r="P1000" s="78"/>
      <c r="Q1000" s="78"/>
      <c r="R1000" s="78"/>
      <c r="S1000" s="78"/>
      <c r="T1000" s="83"/>
    </row>
    <row r="1001" spans="1:20" ht="15" customHeight="1" x14ac:dyDescent="0.3">
      <c r="A1001" s="73"/>
      <c r="B1001" s="74"/>
      <c r="C1001" s="75"/>
      <c r="D1001" s="76"/>
      <c r="E1001" s="77"/>
      <c r="F1001" s="78"/>
      <c r="G1001" s="78"/>
      <c r="H1001" s="79"/>
      <c r="I1001" s="80"/>
      <c r="J1001" s="77"/>
      <c r="K1001" s="81" t="b">
        <v>0</v>
      </c>
      <c r="L1001" s="78"/>
      <c r="M1001" s="82"/>
      <c r="N1001" s="78"/>
      <c r="O1001" s="78"/>
      <c r="P1001" s="78"/>
      <c r="Q1001" s="78"/>
      <c r="R1001" s="78"/>
      <c r="S1001" s="78"/>
      <c r="T1001" s="83"/>
    </row>
    <row r="1002" spans="1:20" ht="15" customHeight="1" x14ac:dyDescent="0.3">
      <c r="A1002" s="73"/>
      <c r="B1002" s="74"/>
      <c r="C1002" s="75"/>
      <c r="D1002" s="76"/>
      <c r="E1002" s="77"/>
      <c r="F1002" s="78"/>
      <c r="G1002" s="78"/>
      <c r="H1002" s="79"/>
      <c r="I1002" s="80"/>
      <c r="J1002" s="77"/>
      <c r="K1002" s="81" t="b">
        <v>0</v>
      </c>
      <c r="L1002" s="78"/>
      <c r="M1002" s="82"/>
      <c r="N1002" s="78"/>
      <c r="O1002" s="78"/>
      <c r="P1002" s="78"/>
      <c r="Q1002" s="78"/>
      <c r="R1002" s="78"/>
      <c r="S1002" s="78"/>
      <c r="T1002" s="83"/>
    </row>
    <row r="1003" spans="1:20" ht="15" customHeight="1" x14ac:dyDescent="0.3">
      <c r="A1003" s="73"/>
      <c r="B1003" s="74"/>
      <c r="C1003" s="75"/>
      <c r="D1003" s="76"/>
      <c r="E1003" s="77"/>
      <c r="F1003" s="78"/>
      <c r="G1003" s="78"/>
      <c r="H1003" s="79"/>
      <c r="I1003" s="80"/>
      <c r="J1003" s="77"/>
      <c r="K1003" s="81" t="b">
        <v>0</v>
      </c>
      <c r="L1003" s="78"/>
      <c r="M1003" s="82"/>
      <c r="N1003" s="78"/>
      <c r="O1003" s="78"/>
      <c r="P1003" s="78"/>
      <c r="Q1003" s="78"/>
      <c r="R1003" s="78"/>
      <c r="S1003" s="78"/>
      <c r="T1003" s="83"/>
    </row>
    <row r="1004" spans="1:20" ht="15" customHeight="1" x14ac:dyDescent="0.3">
      <c r="A1004" s="73"/>
      <c r="B1004" s="74"/>
      <c r="C1004" s="75"/>
      <c r="D1004" s="76"/>
      <c r="E1004" s="77"/>
      <c r="F1004" s="78"/>
      <c r="G1004" s="78"/>
      <c r="H1004" s="79"/>
      <c r="I1004" s="80"/>
      <c r="J1004" s="77"/>
      <c r="K1004" s="81" t="b">
        <v>0</v>
      </c>
      <c r="L1004" s="78"/>
      <c r="M1004" s="82"/>
      <c r="N1004" s="78"/>
      <c r="O1004" s="78"/>
      <c r="P1004" s="78"/>
      <c r="Q1004" s="78"/>
      <c r="R1004" s="78"/>
      <c r="S1004" s="78"/>
      <c r="T1004" s="83"/>
    </row>
    <row r="1005" spans="1:20" ht="15" customHeight="1" x14ac:dyDescent="0.3">
      <c r="A1005" s="73"/>
      <c r="B1005" s="74"/>
      <c r="C1005" s="75"/>
      <c r="D1005" s="76"/>
      <c r="E1005" s="77"/>
      <c r="F1005" s="78"/>
      <c r="G1005" s="78"/>
      <c r="H1005" s="79"/>
      <c r="I1005" s="80"/>
      <c r="J1005" s="77"/>
      <c r="K1005" s="81" t="b">
        <v>0</v>
      </c>
      <c r="L1005" s="78"/>
      <c r="M1005" s="82"/>
      <c r="N1005" s="78"/>
      <c r="O1005" s="78"/>
      <c r="P1005" s="78"/>
      <c r="Q1005" s="78"/>
      <c r="R1005" s="78"/>
      <c r="S1005" s="78"/>
      <c r="T1005" s="83"/>
    </row>
    <row r="1006" spans="1:20" ht="15" customHeight="1" x14ac:dyDescent="0.3">
      <c r="A1006" s="73"/>
      <c r="B1006" s="74"/>
      <c r="C1006" s="75"/>
      <c r="D1006" s="76"/>
      <c r="E1006" s="77"/>
      <c r="F1006" s="78"/>
      <c r="G1006" s="78"/>
      <c r="H1006" s="79"/>
      <c r="I1006" s="80"/>
      <c r="J1006" s="77"/>
      <c r="K1006" s="81" t="b">
        <v>0</v>
      </c>
      <c r="L1006" s="78"/>
      <c r="M1006" s="82"/>
      <c r="N1006" s="78"/>
      <c r="O1006" s="78"/>
      <c r="P1006" s="78"/>
      <c r="Q1006" s="78"/>
      <c r="R1006" s="78"/>
      <c r="S1006" s="78"/>
      <c r="T1006" s="83"/>
    </row>
    <row r="1007" spans="1:20" ht="15" customHeight="1" x14ac:dyDescent="0.3">
      <c r="A1007" s="73"/>
      <c r="B1007" s="74"/>
      <c r="C1007" s="75"/>
      <c r="D1007" s="76"/>
      <c r="E1007" s="77"/>
      <c r="F1007" s="78"/>
      <c r="G1007" s="78"/>
      <c r="H1007" s="79"/>
      <c r="I1007" s="80"/>
      <c r="J1007" s="77"/>
      <c r="K1007" s="81" t="b">
        <v>0</v>
      </c>
      <c r="L1007" s="78"/>
      <c r="M1007" s="82"/>
      <c r="N1007" s="78"/>
      <c r="O1007" s="78"/>
      <c r="P1007" s="78"/>
      <c r="Q1007" s="78"/>
      <c r="R1007" s="78"/>
      <c r="S1007" s="78"/>
      <c r="T1007" s="83"/>
    </row>
    <row r="1008" spans="1:20" ht="15" customHeight="1" x14ac:dyDescent="0.3">
      <c r="A1008" s="73"/>
      <c r="B1008" s="74"/>
      <c r="C1008" s="75"/>
      <c r="D1008" s="76"/>
      <c r="E1008" s="77"/>
      <c r="F1008" s="78"/>
      <c r="G1008" s="78"/>
      <c r="H1008" s="79"/>
      <c r="I1008" s="80"/>
      <c r="J1008" s="77"/>
      <c r="K1008" s="81" t="b">
        <v>0</v>
      </c>
      <c r="L1008" s="78"/>
      <c r="M1008" s="82"/>
      <c r="N1008" s="78"/>
      <c r="O1008" s="78"/>
      <c r="P1008" s="78"/>
      <c r="Q1008" s="78"/>
      <c r="R1008" s="78"/>
      <c r="S1008" s="78"/>
      <c r="T1008" s="83"/>
    </row>
    <row r="1009" spans="1:20" ht="15" customHeight="1" x14ac:dyDescent="0.3">
      <c r="A1009" s="73"/>
      <c r="B1009" s="74"/>
      <c r="C1009" s="75"/>
      <c r="D1009" s="76"/>
      <c r="E1009" s="77"/>
      <c r="F1009" s="78"/>
      <c r="G1009" s="78"/>
      <c r="H1009" s="79"/>
      <c r="I1009" s="80"/>
      <c r="J1009" s="77"/>
      <c r="K1009" s="81" t="b">
        <v>0</v>
      </c>
      <c r="L1009" s="78"/>
      <c r="M1009" s="82"/>
      <c r="N1009" s="78"/>
      <c r="O1009" s="78"/>
      <c r="P1009" s="78"/>
      <c r="Q1009" s="78"/>
      <c r="R1009" s="78"/>
      <c r="S1009" s="78"/>
      <c r="T1009" s="83"/>
    </row>
    <row r="1010" spans="1:20" ht="15" customHeight="1" x14ac:dyDescent="0.3">
      <c r="A1010" s="73"/>
      <c r="B1010" s="74"/>
      <c r="C1010" s="75"/>
      <c r="D1010" s="76"/>
      <c r="E1010" s="77"/>
      <c r="F1010" s="78"/>
      <c r="G1010" s="78"/>
      <c r="H1010" s="79"/>
      <c r="I1010" s="80"/>
      <c r="J1010" s="77"/>
      <c r="K1010" s="81" t="b">
        <v>0</v>
      </c>
      <c r="L1010" s="78"/>
      <c r="M1010" s="82"/>
      <c r="N1010" s="78"/>
      <c r="O1010" s="78"/>
      <c r="P1010" s="78"/>
      <c r="Q1010" s="78"/>
      <c r="R1010" s="78"/>
      <c r="S1010" s="78"/>
      <c r="T1010" s="83"/>
    </row>
    <row r="1011" spans="1:20" ht="15" customHeight="1" x14ac:dyDescent="0.3">
      <c r="A1011" s="73"/>
      <c r="B1011" s="74"/>
      <c r="C1011" s="75"/>
      <c r="D1011" s="76"/>
      <c r="E1011" s="77"/>
      <c r="F1011" s="78"/>
      <c r="G1011" s="78"/>
      <c r="H1011" s="79"/>
      <c r="I1011" s="80"/>
      <c r="J1011" s="77"/>
      <c r="K1011" s="81" t="b">
        <v>0</v>
      </c>
      <c r="L1011" s="78"/>
      <c r="M1011" s="82"/>
      <c r="N1011" s="78"/>
      <c r="O1011" s="78"/>
      <c r="P1011" s="78"/>
      <c r="Q1011" s="78"/>
      <c r="R1011" s="78"/>
      <c r="S1011" s="78"/>
      <c r="T1011" s="83"/>
    </row>
    <row r="1012" spans="1:20" ht="15" customHeight="1" x14ac:dyDescent="0.3">
      <c r="A1012" s="73"/>
      <c r="B1012" s="74"/>
      <c r="C1012" s="75"/>
      <c r="D1012" s="76"/>
      <c r="E1012" s="77"/>
      <c r="F1012" s="78"/>
      <c r="G1012" s="78"/>
      <c r="H1012" s="79"/>
      <c r="I1012" s="80"/>
      <c r="J1012" s="77"/>
      <c r="K1012" s="81" t="b">
        <v>0</v>
      </c>
      <c r="L1012" s="78"/>
      <c r="M1012" s="82"/>
      <c r="N1012" s="78"/>
      <c r="O1012" s="78"/>
      <c r="P1012" s="78"/>
      <c r="Q1012" s="78"/>
      <c r="R1012" s="78"/>
      <c r="S1012" s="78"/>
      <c r="T1012" s="83"/>
    </row>
    <row r="1013" spans="1:20" ht="15" customHeight="1" x14ac:dyDescent="0.3">
      <c r="A1013" s="73"/>
      <c r="B1013" s="74"/>
      <c r="C1013" s="75"/>
      <c r="D1013" s="76"/>
      <c r="E1013" s="77"/>
      <c r="F1013" s="78"/>
      <c r="G1013" s="78"/>
      <c r="H1013" s="79"/>
      <c r="I1013" s="80"/>
      <c r="J1013" s="77"/>
      <c r="K1013" s="81" t="b">
        <v>0</v>
      </c>
      <c r="L1013" s="78"/>
      <c r="M1013" s="82"/>
      <c r="N1013" s="78"/>
      <c r="O1013" s="78"/>
      <c r="P1013" s="78"/>
      <c r="Q1013" s="78"/>
      <c r="R1013" s="78"/>
      <c r="S1013" s="78"/>
      <c r="T1013" s="83"/>
    </row>
    <row r="1014" spans="1:20" ht="15" customHeight="1" x14ac:dyDescent="0.3">
      <c r="A1014" s="73"/>
      <c r="B1014" s="74"/>
      <c r="C1014" s="75"/>
      <c r="D1014" s="76"/>
      <c r="E1014" s="77"/>
      <c r="F1014" s="78"/>
      <c r="G1014" s="78"/>
      <c r="H1014" s="79"/>
      <c r="I1014" s="80"/>
      <c r="J1014" s="77"/>
      <c r="K1014" s="81" t="b">
        <v>0</v>
      </c>
      <c r="L1014" s="78"/>
      <c r="M1014" s="82"/>
      <c r="N1014" s="78"/>
      <c r="O1014" s="78"/>
      <c r="P1014" s="78"/>
      <c r="Q1014" s="78"/>
      <c r="R1014" s="78"/>
      <c r="S1014" s="78"/>
      <c r="T1014" s="83"/>
    </row>
    <row r="1015" spans="1:20" ht="15" customHeight="1" x14ac:dyDescent="0.3">
      <c r="A1015" s="73"/>
      <c r="B1015" s="74"/>
      <c r="C1015" s="75"/>
      <c r="D1015" s="76"/>
      <c r="E1015" s="77"/>
      <c r="F1015" s="78"/>
      <c r="G1015" s="78"/>
      <c r="H1015" s="79"/>
      <c r="I1015" s="80"/>
      <c r="J1015" s="77"/>
      <c r="K1015" s="81" t="b">
        <v>0</v>
      </c>
      <c r="L1015" s="78"/>
      <c r="M1015" s="82"/>
      <c r="N1015" s="78"/>
      <c r="O1015" s="78"/>
      <c r="P1015" s="78"/>
      <c r="Q1015" s="78"/>
      <c r="R1015" s="78"/>
      <c r="S1015" s="78"/>
      <c r="T1015" s="83"/>
    </row>
    <row r="1016" spans="1:20" ht="15" customHeight="1" x14ac:dyDescent="0.3">
      <c r="A1016" s="73"/>
      <c r="B1016" s="74"/>
      <c r="C1016" s="75"/>
      <c r="D1016" s="76"/>
      <c r="E1016" s="77"/>
      <c r="F1016" s="78"/>
      <c r="G1016" s="78"/>
      <c r="H1016" s="79"/>
      <c r="I1016" s="80"/>
      <c r="J1016" s="77"/>
      <c r="K1016" s="81" t="b">
        <v>0</v>
      </c>
      <c r="L1016" s="78"/>
      <c r="M1016" s="82"/>
      <c r="N1016" s="78"/>
      <c r="O1016" s="78"/>
      <c r="P1016" s="78"/>
      <c r="Q1016" s="78"/>
      <c r="R1016" s="78"/>
      <c r="S1016" s="78"/>
      <c r="T1016" s="83"/>
    </row>
    <row r="1017" spans="1:20" ht="15" customHeight="1" x14ac:dyDescent="0.3">
      <c r="A1017" s="73"/>
      <c r="B1017" s="74"/>
      <c r="C1017" s="75"/>
      <c r="D1017" s="76"/>
      <c r="E1017" s="77"/>
      <c r="F1017" s="78"/>
      <c r="G1017" s="78"/>
      <c r="H1017" s="79"/>
      <c r="I1017" s="80"/>
      <c r="J1017" s="77"/>
      <c r="K1017" s="81" t="b">
        <v>0</v>
      </c>
      <c r="L1017" s="78"/>
      <c r="M1017" s="82"/>
      <c r="N1017" s="78"/>
      <c r="O1017" s="78"/>
      <c r="P1017" s="78"/>
      <c r="Q1017" s="78"/>
      <c r="R1017" s="78"/>
      <c r="S1017" s="78"/>
      <c r="T1017" s="83"/>
    </row>
    <row r="1018" spans="1:20" ht="15" customHeight="1" x14ac:dyDescent="0.3">
      <c r="A1018" s="73"/>
      <c r="B1018" s="74"/>
      <c r="C1018" s="75"/>
      <c r="D1018" s="76"/>
      <c r="E1018" s="77"/>
      <c r="F1018" s="78"/>
      <c r="G1018" s="78"/>
      <c r="H1018" s="79"/>
      <c r="I1018" s="80"/>
      <c r="J1018" s="77"/>
      <c r="K1018" s="81" t="b">
        <v>0</v>
      </c>
      <c r="L1018" s="78"/>
      <c r="M1018" s="82"/>
      <c r="N1018" s="78"/>
      <c r="O1018" s="78"/>
      <c r="P1018" s="78"/>
      <c r="Q1018" s="78"/>
      <c r="R1018" s="78"/>
      <c r="S1018" s="78"/>
      <c r="T1018" s="83"/>
    </row>
    <row r="1019" spans="1:20" ht="15" customHeight="1" x14ac:dyDescent="0.3">
      <c r="A1019" s="73"/>
      <c r="B1019" s="74"/>
      <c r="C1019" s="75"/>
      <c r="D1019" s="76"/>
      <c r="E1019" s="77"/>
      <c r="F1019" s="78"/>
      <c r="G1019" s="78"/>
      <c r="H1019" s="79"/>
      <c r="I1019" s="80"/>
      <c r="J1019" s="77"/>
      <c r="K1019" s="81" t="b">
        <v>0</v>
      </c>
      <c r="L1019" s="78"/>
      <c r="M1019" s="82"/>
      <c r="N1019" s="78"/>
      <c r="O1019" s="78"/>
      <c r="P1019" s="78"/>
      <c r="Q1019" s="78"/>
      <c r="R1019" s="78"/>
      <c r="S1019" s="78"/>
      <c r="T1019" s="83"/>
    </row>
    <row r="1020" spans="1:20" ht="15" customHeight="1" x14ac:dyDescent="0.3">
      <c r="A1020" s="73"/>
      <c r="B1020" s="74"/>
      <c r="C1020" s="75"/>
      <c r="D1020" s="76"/>
      <c r="E1020" s="77"/>
      <c r="F1020" s="78"/>
      <c r="G1020" s="78"/>
      <c r="H1020" s="79"/>
      <c r="I1020" s="80"/>
      <c r="J1020" s="77"/>
      <c r="K1020" s="81" t="b">
        <v>0</v>
      </c>
      <c r="L1020" s="78"/>
      <c r="M1020" s="82"/>
      <c r="N1020" s="78"/>
      <c r="O1020" s="78"/>
      <c r="P1020" s="78"/>
      <c r="Q1020" s="78"/>
      <c r="R1020" s="78"/>
      <c r="S1020" s="78"/>
      <c r="T1020" s="83"/>
    </row>
    <row r="1021" spans="1:20" ht="15" customHeight="1" x14ac:dyDescent="0.3">
      <c r="A1021" s="73"/>
      <c r="B1021" s="74"/>
      <c r="C1021" s="75"/>
      <c r="D1021" s="76"/>
      <c r="E1021" s="77"/>
      <c r="F1021" s="78"/>
      <c r="G1021" s="78"/>
      <c r="H1021" s="79"/>
      <c r="I1021" s="80"/>
      <c r="J1021" s="77"/>
      <c r="K1021" s="81" t="b">
        <v>0</v>
      </c>
      <c r="L1021" s="78"/>
      <c r="M1021" s="82"/>
      <c r="N1021" s="78"/>
      <c r="O1021" s="78"/>
      <c r="P1021" s="78"/>
      <c r="Q1021" s="78"/>
      <c r="R1021" s="78"/>
      <c r="S1021" s="78"/>
      <c r="T1021" s="83"/>
    </row>
    <row r="1022" spans="1:20" ht="15" customHeight="1" x14ac:dyDescent="0.3">
      <c r="A1022" s="73"/>
      <c r="B1022" s="74"/>
      <c r="C1022" s="75"/>
      <c r="D1022" s="76"/>
      <c r="E1022" s="77"/>
      <c r="F1022" s="78"/>
      <c r="G1022" s="78"/>
      <c r="H1022" s="79"/>
      <c r="I1022" s="80"/>
      <c r="J1022" s="77"/>
      <c r="K1022" s="81" t="b">
        <v>0</v>
      </c>
      <c r="L1022" s="78"/>
      <c r="M1022" s="82"/>
      <c r="N1022" s="78"/>
      <c r="O1022" s="78"/>
      <c r="P1022" s="78"/>
      <c r="Q1022" s="78"/>
      <c r="R1022" s="78"/>
      <c r="S1022" s="78"/>
      <c r="T1022" s="83"/>
    </row>
    <row r="1023" spans="1:20" ht="15" customHeight="1" x14ac:dyDescent="0.3">
      <c r="A1023" s="73"/>
      <c r="B1023" s="74"/>
      <c r="C1023" s="75"/>
      <c r="D1023" s="76"/>
      <c r="E1023" s="77"/>
      <c r="F1023" s="78"/>
      <c r="G1023" s="78"/>
      <c r="H1023" s="79"/>
      <c r="I1023" s="80"/>
      <c r="J1023" s="77"/>
      <c r="K1023" s="81" t="b">
        <v>0</v>
      </c>
      <c r="L1023" s="78"/>
      <c r="M1023" s="82"/>
      <c r="N1023" s="78"/>
      <c r="O1023" s="78"/>
      <c r="P1023" s="78"/>
      <c r="Q1023" s="78"/>
      <c r="R1023" s="78"/>
      <c r="S1023" s="78"/>
      <c r="T1023" s="83"/>
    </row>
    <row r="1024" spans="1:20" ht="15" customHeight="1" x14ac:dyDescent="0.3">
      <c r="A1024" s="73"/>
      <c r="B1024" s="74"/>
      <c r="C1024" s="75"/>
      <c r="D1024" s="76"/>
      <c r="E1024" s="77"/>
      <c r="F1024" s="78"/>
      <c r="G1024" s="78"/>
      <c r="H1024" s="79"/>
      <c r="I1024" s="80"/>
      <c r="J1024" s="77"/>
      <c r="K1024" s="81" t="b">
        <v>0</v>
      </c>
      <c r="L1024" s="78"/>
      <c r="M1024" s="82"/>
      <c r="N1024" s="78"/>
      <c r="O1024" s="78"/>
      <c r="P1024" s="78"/>
      <c r="Q1024" s="78"/>
      <c r="R1024" s="78"/>
      <c r="S1024" s="78"/>
      <c r="T1024" s="83"/>
    </row>
    <row r="1025" spans="1:20" ht="15" customHeight="1" x14ac:dyDescent="0.3">
      <c r="A1025" s="73"/>
      <c r="B1025" s="74"/>
      <c r="C1025" s="75"/>
      <c r="D1025" s="76"/>
      <c r="E1025" s="77"/>
      <c r="F1025" s="78"/>
      <c r="G1025" s="78"/>
      <c r="H1025" s="79"/>
      <c r="I1025" s="80"/>
      <c r="J1025" s="77"/>
      <c r="K1025" s="81" t="b">
        <v>0</v>
      </c>
      <c r="L1025" s="78"/>
      <c r="M1025" s="82"/>
      <c r="N1025" s="78"/>
      <c r="O1025" s="78"/>
      <c r="P1025" s="78"/>
      <c r="Q1025" s="78"/>
      <c r="R1025" s="78"/>
      <c r="S1025" s="78"/>
      <c r="T1025" s="83"/>
    </row>
    <row r="1026" spans="1:20" ht="15" customHeight="1" x14ac:dyDescent="0.3">
      <c r="A1026" s="73"/>
      <c r="B1026" s="74"/>
      <c r="C1026" s="75"/>
      <c r="D1026" s="76"/>
      <c r="E1026" s="77"/>
      <c r="F1026" s="78"/>
      <c r="G1026" s="78"/>
      <c r="H1026" s="79"/>
      <c r="I1026" s="80"/>
      <c r="J1026" s="77"/>
      <c r="K1026" s="81" t="b">
        <v>0</v>
      </c>
      <c r="L1026" s="78"/>
      <c r="M1026" s="82"/>
      <c r="N1026" s="78"/>
      <c r="O1026" s="78"/>
      <c r="P1026" s="78"/>
      <c r="Q1026" s="78"/>
      <c r="R1026" s="78"/>
      <c r="S1026" s="78"/>
      <c r="T1026" s="83"/>
    </row>
    <row r="1027" spans="1:20" ht="15" customHeight="1" x14ac:dyDescent="0.3">
      <c r="A1027" s="73"/>
      <c r="B1027" s="74"/>
      <c r="C1027" s="75"/>
      <c r="D1027" s="76"/>
      <c r="E1027" s="77"/>
      <c r="F1027" s="78"/>
      <c r="G1027" s="78"/>
      <c r="H1027" s="79"/>
      <c r="I1027" s="80"/>
      <c r="J1027" s="77"/>
      <c r="K1027" s="81" t="b">
        <v>0</v>
      </c>
      <c r="L1027" s="78"/>
      <c r="M1027" s="82"/>
      <c r="N1027" s="78"/>
      <c r="O1027" s="78"/>
      <c r="P1027" s="78"/>
      <c r="Q1027" s="78"/>
      <c r="R1027" s="78"/>
      <c r="S1027" s="78"/>
      <c r="T1027" s="83"/>
    </row>
    <row r="1028" spans="1:20" ht="15" customHeight="1" x14ac:dyDescent="0.3">
      <c r="A1028" s="73"/>
      <c r="B1028" s="74"/>
      <c r="C1028" s="75"/>
      <c r="D1028" s="76"/>
      <c r="E1028" s="77"/>
      <c r="F1028" s="78"/>
      <c r="G1028" s="78"/>
      <c r="H1028" s="79"/>
      <c r="I1028" s="80"/>
      <c r="J1028" s="77"/>
      <c r="K1028" s="81" t="b">
        <v>0</v>
      </c>
      <c r="L1028" s="78"/>
      <c r="M1028" s="82"/>
      <c r="N1028" s="78"/>
      <c r="O1028" s="78"/>
      <c r="P1028" s="78"/>
      <c r="Q1028" s="78"/>
      <c r="R1028" s="78"/>
      <c r="S1028" s="78"/>
      <c r="T1028" s="83"/>
    </row>
    <row r="1029" spans="1:20" ht="15" customHeight="1" x14ac:dyDescent="0.3">
      <c r="A1029" s="73"/>
      <c r="B1029" s="74"/>
      <c r="C1029" s="75"/>
      <c r="D1029" s="76"/>
      <c r="E1029" s="77"/>
      <c r="F1029" s="78"/>
      <c r="G1029" s="78"/>
      <c r="H1029" s="79"/>
      <c r="I1029" s="80"/>
      <c r="J1029" s="77"/>
      <c r="K1029" s="81" t="b">
        <v>0</v>
      </c>
      <c r="L1029" s="78"/>
      <c r="M1029" s="82"/>
      <c r="N1029" s="78"/>
      <c r="O1029" s="78"/>
      <c r="P1029" s="78"/>
      <c r="Q1029" s="78"/>
      <c r="R1029" s="78"/>
      <c r="S1029" s="78"/>
      <c r="T1029" s="83"/>
    </row>
    <row r="1030" spans="1:20" ht="15" customHeight="1" x14ac:dyDescent="0.3">
      <c r="A1030" s="73"/>
      <c r="B1030" s="74"/>
      <c r="C1030" s="75"/>
      <c r="D1030" s="76"/>
      <c r="E1030" s="77"/>
      <c r="F1030" s="78"/>
      <c r="G1030" s="78"/>
      <c r="H1030" s="79"/>
      <c r="I1030" s="80"/>
      <c r="J1030" s="77"/>
      <c r="K1030" s="81" t="b">
        <v>0</v>
      </c>
      <c r="L1030" s="78"/>
      <c r="M1030" s="82"/>
      <c r="N1030" s="78"/>
      <c r="O1030" s="78"/>
      <c r="P1030" s="78"/>
      <c r="Q1030" s="78"/>
      <c r="R1030" s="78"/>
      <c r="S1030" s="78"/>
      <c r="T1030" s="83"/>
    </row>
    <row r="1031" spans="1:20" ht="15" customHeight="1" x14ac:dyDescent="0.3">
      <c r="A1031" s="73"/>
      <c r="B1031" s="74"/>
      <c r="C1031" s="75"/>
      <c r="D1031" s="76"/>
      <c r="E1031" s="77"/>
      <c r="F1031" s="78"/>
      <c r="G1031" s="78"/>
      <c r="H1031" s="79"/>
      <c r="I1031" s="80"/>
      <c r="J1031" s="77"/>
      <c r="K1031" s="81" t="b">
        <v>0</v>
      </c>
      <c r="L1031" s="78"/>
      <c r="M1031" s="82"/>
      <c r="N1031" s="78"/>
      <c r="O1031" s="78"/>
      <c r="P1031" s="78"/>
      <c r="Q1031" s="78"/>
      <c r="R1031" s="78"/>
      <c r="S1031" s="78"/>
      <c r="T1031" s="83"/>
    </row>
    <row r="1032" spans="1:20" ht="15" customHeight="1" x14ac:dyDescent="0.3">
      <c r="A1032" s="73"/>
      <c r="B1032" s="74"/>
      <c r="C1032" s="75"/>
      <c r="D1032" s="76"/>
      <c r="E1032" s="77"/>
      <c r="F1032" s="78"/>
      <c r="G1032" s="78"/>
      <c r="H1032" s="79"/>
      <c r="I1032" s="80"/>
      <c r="J1032" s="77"/>
      <c r="K1032" s="81" t="b">
        <v>0</v>
      </c>
      <c r="L1032" s="78"/>
      <c r="M1032" s="82"/>
      <c r="N1032" s="78"/>
      <c r="O1032" s="78"/>
      <c r="P1032" s="78"/>
      <c r="Q1032" s="78"/>
      <c r="R1032" s="78"/>
      <c r="S1032" s="78"/>
      <c r="T1032" s="83"/>
    </row>
    <row r="1033" spans="1:20" ht="15" customHeight="1" x14ac:dyDescent="0.3">
      <c r="A1033" s="73"/>
      <c r="B1033" s="74"/>
      <c r="C1033" s="75"/>
      <c r="D1033" s="76"/>
      <c r="E1033" s="77"/>
      <c r="F1033" s="78"/>
      <c r="G1033" s="78"/>
      <c r="H1033" s="79"/>
      <c r="I1033" s="80"/>
      <c r="J1033" s="77"/>
      <c r="K1033" s="81" t="b">
        <v>0</v>
      </c>
      <c r="L1033" s="78"/>
      <c r="M1033" s="82"/>
      <c r="N1033" s="78"/>
      <c r="O1033" s="78"/>
      <c r="P1033" s="78"/>
      <c r="Q1033" s="78"/>
      <c r="R1033" s="78"/>
      <c r="S1033" s="78"/>
      <c r="T1033" s="83"/>
    </row>
    <row r="1034" spans="1:20" ht="15" customHeight="1" x14ac:dyDescent="0.3">
      <c r="A1034" s="73"/>
      <c r="B1034" s="74"/>
      <c r="C1034" s="75"/>
      <c r="D1034" s="76"/>
      <c r="E1034" s="77"/>
      <c r="F1034" s="78"/>
      <c r="G1034" s="78"/>
      <c r="H1034" s="79"/>
      <c r="I1034" s="80"/>
      <c r="J1034" s="77"/>
      <c r="K1034" s="81" t="b">
        <v>0</v>
      </c>
      <c r="L1034" s="78"/>
      <c r="M1034" s="82"/>
      <c r="N1034" s="78"/>
      <c r="O1034" s="78"/>
      <c r="P1034" s="78"/>
      <c r="Q1034" s="78"/>
      <c r="R1034" s="78"/>
      <c r="S1034" s="78"/>
      <c r="T1034" s="83"/>
    </row>
    <row r="1035" spans="1:20" ht="15" customHeight="1" x14ac:dyDescent="0.3">
      <c r="A1035" s="73"/>
      <c r="B1035" s="74"/>
      <c r="C1035" s="75"/>
      <c r="D1035" s="76"/>
      <c r="E1035" s="77"/>
      <c r="F1035" s="78"/>
      <c r="G1035" s="78"/>
      <c r="H1035" s="79"/>
      <c r="I1035" s="80"/>
      <c r="J1035" s="77"/>
      <c r="K1035" s="81" t="b">
        <v>0</v>
      </c>
      <c r="L1035" s="78"/>
      <c r="M1035" s="82"/>
      <c r="N1035" s="78"/>
      <c r="O1035" s="78"/>
      <c r="P1035" s="78"/>
      <c r="Q1035" s="78"/>
      <c r="R1035" s="78"/>
      <c r="S1035" s="78"/>
      <c r="T1035" s="83"/>
    </row>
    <row r="1036" spans="1:20" ht="15" customHeight="1" x14ac:dyDescent="0.3">
      <c r="A1036" s="73"/>
      <c r="B1036" s="74"/>
      <c r="C1036" s="75"/>
      <c r="D1036" s="76"/>
      <c r="E1036" s="77"/>
      <c r="F1036" s="78"/>
      <c r="G1036" s="78"/>
      <c r="H1036" s="79"/>
      <c r="I1036" s="80"/>
      <c r="J1036" s="77"/>
      <c r="K1036" s="81" t="b">
        <v>0</v>
      </c>
      <c r="L1036" s="78"/>
      <c r="M1036" s="82"/>
      <c r="N1036" s="78"/>
      <c r="O1036" s="78"/>
      <c r="P1036" s="78"/>
      <c r="Q1036" s="78"/>
      <c r="R1036" s="78"/>
      <c r="S1036" s="78"/>
      <c r="T1036" s="83"/>
    </row>
    <row r="1037" spans="1:20" ht="15" customHeight="1" x14ac:dyDescent="0.3">
      <c r="A1037" s="73"/>
      <c r="B1037" s="74"/>
      <c r="C1037" s="75"/>
      <c r="D1037" s="76"/>
      <c r="E1037" s="77"/>
      <c r="F1037" s="78"/>
      <c r="G1037" s="78"/>
      <c r="H1037" s="79"/>
      <c r="I1037" s="80"/>
      <c r="J1037" s="77"/>
      <c r="K1037" s="81" t="b">
        <v>0</v>
      </c>
      <c r="L1037" s="78"/>
      <c r="M1037" s="82"/>
      <c r="N1037" s="78"/>
      <c r="O1037" s="78"/>
      <c r="P1037" s="78"/>
      <c r="Q1037" s="78"/>
      <c r="R1037" s="78"/>
      <c r="S1037" s="78"/>
      <c r="T1037" s="83"/>
    </row>
    <row r="1038" spans="1:20" ht="15" customHeight="1" x14ac:dyDescent="0.3">
      <c r="A1038" s="73"/>
      <c r="B1038" s="74"/>
      <c r="C1038" s="75"/>
      <c r="D1038" s="76"/>
      <c r="E1038" s="77"/>
      <c r="F1038" s="78"/>
      <c r="G1038" s="78"/>
      <c r="H1038" s="79"/>
      <c r="I1038" s="80"/>
      <c r="J1038" s="77"/>
      <c r="K1038" s="81" t="b">
        <v>0</v>
      </c>
      <c r="L1038" s="78"/>
      <c r="M1038" s="82"/>
      <c r="N1038" s="78"/>
      <c r="O1038" s="78"/>
      <c r="P1038" s="78"/>
      <c r="Q1038" s="78"/>
      <c r="R1038" s="78"/>
      <c r="S1038" s="78"/>
      <c r="T1038" s="83"/>
    </row>
    <row r="1039" spans="1:20" ht="15" customHeight="1" x14ac:dyDescent="0.3">
      <c r="A1039" s="73"/>
      <c r="B1039" s="74"/>
      <c r="C1039" s="75"/>
      <c r="D1039" s="76"/>
      <c r="E1039" s="77"/>
      <c r="F1039" s="78"/>
      <c r="G1039" s="78"/>
      <c r="H1039" s="79"/>
      <c r="I1039" s="80"/>
      <c r="J1039" s="77"/>
      <c r="K1039" s="81" t="b">
        <v>0</v>
      </c>
      <c r="L1039" s="78"/>
      <c r="M1039" s="82"/>
      <c r="N1039" s="78"/>
      <c r="O1039" s="78"/>
      <c r="P1039" s="78"/>
      <c r="Q1039" s="78"/>
      <c r="R1039" s="78"/>
      <c r="S1039" s="78"/>
      <c r="T1039" s="83"/>
    </row>
    <row r="1040" spans="1:20" ht="15" customHeight="1" x14ac:dyDescent="0.3">
      <c r="A1040" s="73"/>
      <c r="B1040" s="74"/>
      <c r="C1040" s="75"/>
      <c r="D1040" s="76"/>
      <c r="E1040" s="77"/>
      <c r="F1040" s="78"/>
      <c r="G1040" s="78"/>
      <c r="H1040" s="79"/>
      <c r="I1040" s="80"/>
      <c r="J1040" s="77"/>
      <c r="K1040" s="81" t="b">
        <v>0</v>
      </c>
      <c r="L1040" s="78"/>
      <c r="M1040" s="82"/>
      <c r="N1040" s="78"/>
      <c r="O1040" s="78"/>
      <c r="P1040" s="78"/>
      <c r="Q1040" s="78"/>
      <c r="R1040" s="78"/>
      <c r="S1040" s="78"/>
      <c r="T1040" s="83"/>
    </row>
    <row r="1041" spans="1:20" ht="15" customHeight="1" x14ac:dyDescent="0.3">
      <c r="A1041" s="73"/>
      <c r="B1041" s="74"/>
      <c r="C1041" s="75"/>
      <c r="D1041" s="76"/>
      <c r="E1041" s="77"/>
      <c r="F1041" s="78"/>
      <c r="G1041" s="78"/>
      <c r="H1041" s="79"/>
      <c r="I1041" s="80"/>
      <c r="J1041" s="77"/>
      <c r="K1041" s="81" t="b">
        <v>0</v>
      </c>
      <c r="L1041" s="78"/>
      <c r="M1041" s="82"/>
      <c r="N1041" s="78"/>
      <c r="O1041" s="78"/>
      <c r="P1041" s="78"/>
      <c r="Q1041" s="78"/>
      <c r="R1041" s="78"/>
      <c r="S1041" s="78"/>
      <c r="T1041" s="83"/>
    </row>
    <row r="1042" spans="1:20" ht="15" customHeight="1" x14ac:dyDescent="0.3">
      <c r="A1042" s="73"/>
      <c r="B1042" s="74"/>
      <c r="C1042" s="75"/>
      <c r="D1042" s="76"/>
      <c r="E1042" s="77"/>
      <c r="F1042" s="78"/>
      <c r="G1042" s="78"/>
      <c r="H1042" s="79"/>
      <c r="I1042" s="80"/>
      <c r="J1042" s="77"/>
      <c r="K1042" s="81" t="b">
        <v>0</v>
      </c>
      <c r="L1042" s="78"/>
      <c r="M1042" s="82"/>
      <c r="N1042" s="78"/>
      <c r="O1042" s="78"/>
      <c r="P1042" s="78"/>
      <c r="Q1042" s="78"/>
      <c r="R1042" s="78"/>
      <c r="S1042" s="78"/>
      <c r="T1042" s="83"/>
    </row>
    <row r="1043" spans="1:20" ht="15" customHeight="1" x14ac:dyDescent="0.3">
      <c r="A1043" s="73"/>
      <c r="B1043" s="74"/>
      <c r="C1043" s="75"/>
      <c r="D1043" s="76"/>
      <c r="E1043" s="77"/>
      <c r="F1043" s="78"/>
      <c r="G1043" s="78"/>
      <c r="H1043" s="79"/>
      <c r="I1043" s="80"/>
      <c r="J1043" s="77"/>
      <c r="K1043" s="81" t="b">
        <v>0</v>
      </c>
      <c r="L1043" s="78"/>
      <c r="M1043" s="82"/>
      <c r="N1043" s="78"/>
      <c r="O1043" s="78"/>
      <c r="P1043" s="78"/>
      <c r="Q1043" s="78"/>
      <c r="R1043" s="78"/>
      <c r="S1043" s="78"/>
      <c r="T1043" s="83"/>
    </row>
    <row r="1044" spans="1:20" ht="15" customHeight="1" x14ac:dyDescent="0.3">
      <c r="A1044" s="73"/>
      <c r="B1044" s="74"/>
      <c r="C1044" s="75"/>
      <c r="D1044" s="76"/>
      <c r="E1044" s="77"/>
      <c r="F1044" s="78"/>
      <c r="G1044" s="78"/>
      <c r="H1044" s="79"/>
      <c r="I1044" s="80"/>
      <c r="J1044" s="77"/>
      <c r="K1044" s="81" t="b">
        <v>0</v>
      </c>
      <c r="L1044" s="78"/>
      <c r="M1044" s="82"/>
      <c r="N1044" s="78"/>
      <c r="O1044" s="78"/>
      <c r="P1044" s="78"/>
      <c r="Q1044" s="78"/>
      <c r="R1044" s="78"/>
      <c r="S1044" s="78"/>
      <c r="T1044" s="83"/>
    </row>
    <row r="1045" spans="1:20" ht="15" customHeight="1" x14ac:dyDescent="0.3">
      <c r="A1045" s="73"/>
      <c r="B1045" s="74"/>
      <c r="C1045" s="75"/>
      <c r="D1045" s="76"/>
      <c r="E1045" s="77"/>
      <c r="F1045" s="78"/>
      <c r="G1045" s="78"/>
      <c r="H1045" s="79"/>
      <c r="I1045" s="80"/>
      <c r="J1045" s="77"/>
      <c r="K1045" s="81" t="b">
        <v>0</v>
      </c>
      <c r="L1045" s="78"/>
      <c r="M1045" s="82"/>
      <c r="N1045" s="78"/>
      <c r="O1045" s="78"/>
      <c r="P1045" s="78"/>
      <c r="Q1045" s="78"/>
      <c r="R1045" s="78"/>
      <c r="S1045" s="78"/>
      <c r="T1045" s="83"/>
    </row>
    <row r="1046" spans="1:20" ht="15" customHeight="1" x14ac:dyDescent="0.3">
      <c r="A1046" s="73"/>
      <c r="B1046" s="74"/>
      <c r="C1046" s="75"/>
      <c r="D1046" s="76"/>
      <c r="E1046" s="77"/>
      <c r="F1046" s="78"/>
      <c r="G1046" s="78"/>
      <c r="H1046" s="79"/>
      <c r="I1046" s="80"/>
      <c r="J1046" s="77"/>
      <c r="K1046" s="81" t="b">
        <v>0</v>
      </c>
      <c r="L1046" s="78"/>
      <c r="M1046" s="82"/>
      <c r="N1046" s="78"/>
      <c r="O1046" s="78"/>
      <c r="P1046" s="78"/>
      <c r="Q1046" s="78"/>
      <c r="R1046" s="78"/>
      <c r="S1046" s="78"/>
      <c r="T1046" s="83"/>
    </row>
    <row r="1047" spans="1:20" ht="15" customHeight="1" x14ac:dyDescent="0.3">
      <c r="A1047" s="73"/>
      <c r="B1047" s="74"/>
      <c r="C1047" s="75"/>
      <c r="D1047" s="76"/>
      <c r="E1047" s="77"/>
      <c r="F1047" s="78"/>
      <c r="G1047" s="78"/>
      <c r="H1047" s="79"/>
      <c r="I1047" s="80"/>
      <c r="J1047" s="77"/>
      <c r="K1047" s="81" t="b">
        <v>0</v>
      </c>
      <c r="L1047" s="78"/>
      <c r="M1047" s="82"/>
      <c r="N1047" s="78"/>
      <c r="O1047" s="78"/>
      <c r="P1047" s="78"/>
      <c r="Q1047" s="78"/>
      <c r="R1047" s="78"/>
      <c r="S1047" s="78"/>
      <c r="T1047" s="83"/>
    </row>
    <row r="1048" spans="1:20" ht="15" customHeight="1" x14ac:dyDescent="0.3">
      <c r="A1048" s="73"/>
      <c r="B1048" s="74"/>
      <c r="C1048" s="75"/>
      <c r="D1048" s="76"/>
      <c r="E1048" s="77"/>
      <c r="F1048" s="78"/>
      <c r="G1048" s="78"/>
      <c r="H1048" s="79"/>
      <c r="I1048" s="80"/>
      <c r="J1048" s="77"/>
      <c r="K1048" s="81" t="b">
        <v>0</v>
      </c>
      <c r="L1048" s="78"/>
      <c r="M1048" s="82"/>
      <c r="N1048" s="78"/>
      <c r="O1048" s="78"/>
      <c r="P1048" s="78"/>
      <c r="Q1048" s="78"/>
      <c r="R1048" s="78"/>
      <c r="S1048" s="78"/>
      <c r="T1048" s="83"/>
    </row>
    <row r="1049" spans="1:20" ht="15" customHeight="1" x14ac:dyDescent="0.3">
      <c r="A1049" s="73"/>
      <c r="B1049" s="74"/>
      <c r="C1049" s="75"/>
      <c r="D1049" s="76"/>
      <c r="E1049" s="77"/>
      <c r="F1049" s="78"/>
      <c r="G1049" s="78"/>
      <c r="H1049" s="79"/>
      <c r="I1049" s="80"/>
      <c r="J1049" s="77"/>
      <c r="K1049" s="81" t="b">
        <v>0</v>
      </c>
      <c r="L1049" s="78"/>
      <c r="M1049" s="82"/>
      <c r="N1049" s="78"/>
      <c r="O1049" s="78"/>
      <c r="P1049" s="78"/>
      <c r="Q1049" s="78"/>
      <c r="R1049" s="78"/>
      <c r="S1049" s="78"/>
      <c r="T1049" s="83"/>
    </row>
    <row r="1050" spans="1:20" ht="15" customHeight="1" x14ac:dyDescent="0.3">
      <c r="A1050" s="73"/>
      <c r="B1050" s="74"/>
      <c r="C1050" s="75"/>
      <c r="D1050" s="76"/>
      <c r="E1050" s="77"/>
      <c r="F1050" s="78"/>
      <c r="G1050" s="78"/>
      <c r="H1050" s="79"/>
      <c r="I1050" s="80"/>
      <c r="J1050" s="77"/>
      <c r="K1050" s="81" t="b">
        <v>0</v>
      </c>
      <c r="L1050" s="78"/>
      <c r="M1050" s="82"/>
      <c r="N1050" s="78"/>
      <c r="O1050" s="78"/>
      <c r="P1050" s="78"/>
      <c r="Q1050" s="78"/>
      <c r="R1050" s="78"/>
      <c r="S1050" s="78"/>
      <c r="T1050" s="83"/>
    </row>
    <row r="1051" spans="1:20" ht="15" customHeight="1" x14ac:dyDescent="0.3">
      <c r="A1051" s="73"/>
      <c r="B1051" s="74"/>
      <c r="C1051" s="75"/>
      <c r="D1051" s="76"/>
      <c r="E1051" s="77"/>
      <c r="F1051" s="78"/>
      <c r="G1051" s="78"/>
      <c r="H1051" s="79"/>
      <c r="I1051" s="80"/>
      <c r="J1051" s="77"/>
      <c r="K1051" s="81" t="b">
        <v>0</v>
      </c>
      <c r="L1051" s="78"/>
      <c r="M1051" s="82"/>
      <c r="N1051" s="78"/>
      <c r="O1051" s="78"/>
      <c r="P1051" s="78"/>
      <c r="Q1051" s="78"/>
      <c r="R1051" s="78"/>
      <c r="S1051" s="78"/>
      <c r="T1051" s="83"/>
    </row>
    <row r="1052" spans="1:20" ht="15" customHeight="1" x14ac:dyDescent="0.3">
      <c r="A1052" s="73"/>
      <c r="B1052" s="74"/>
      <c r="C1052" s="75"/>
      <c r="D1052" s="76"/>
      <c r="E1052" s="77"/>
      <c r="F1052" s="78"/>
      <c r="G1052" s="78"/>
      <c r="H1052" s="79"/>
      <c r="I1052" s="80"/>
      <c r="J1052" s="77"/>
      <c r="K1052" s="81" t="b">
        <v>0</v>
      </c>
      <c r="L1052" s="78"/>
      <c r="M1052" s="82"/>
      <c r="N1052" s="78"/>
      <c r="O1052" s="78"/>
      <c r="P1052" s="78"/>
      <c r="Q1052" s="78"/>
      <c r="R1052" s="78"/>
      <c r="S1052" s="78"/>
      <c r="T1052" s="83"/>
    </row>
    <row r="1053" spans="1:20" ht="15" customHeight="1" x14ac:dyDescent="0.3">
      <c r="A1053" s="73"/>
      <c r="B1053" s="74"/>
      <c r="C1053" s="75"/>
      <c r="D1053" s="76"/>
      <c r="E1053" s="77"/>
      <c r="F1053" s="78"/>
      <c r="G1053" s="78"/>
      <c r="H1053" s="79"/>
      <c r="I1053" s="80"/>
      <c r="J1053" s="77"/>
      <c r="K1053" s="81" t="b">
        <v>0</v>
      </c>
      <c r="L1053" s="78"/>
      <c r="M1053" s="82"/>
      <c r="N1053" s="78"/>
      <c r="O1053" s="78"/>
      <c r="P1053" s="78"/>
      <c r="Q1053" s="78"/>
      <c r="R1053" s="78"/>
      <c r="S1053" s="78"/>
      <c r="T1053" s="83"/>
    </row>
    <row r="1054" spans="1:20" ht="15" customHeight="1" x14ac:dyDescent="0.3">
      <c r="A1054" s="73"/>
      <c r="B1054" s="74"/>
      <c r="C1054" s="75"/>
      <c r="D1054" s="76"/>
      <c r="E1054" s="77"/>
      <c r="F1054" s="78"/>
      <c r="G1054" s="78"/>
      <c r="H1054" s="79"/>
      <c r="I1054" s="80"/>
      <c r="J1054" s="77"/>
      <c r="K1054" s="81" t="b">
        <v>0</v>
      </c>
      <c r="L1054" s="78"/>
      <c r="M1054" s="82"/>
      <c r="N1054" s="78"/>
      <c r="O1054" s="78"/>
      <c r="P1054" s="78"/>
      <c r="Q1054" s="78"/>
      <c r="R1054" s="78"/>
      <c r="S1054" s="78"/>
      <c r="T1054" s="83"/>
    </row>
    <row r="1055" spans="1:20" ht="15" customHeight="1" x14ac:dyDescent="0.3">
      <c r="A1055" s="73"/>
      <c r="B1055" s="74"/>
      <c r="C1055" s="75"/>
      <c r="D1055" s="76"/>
      <c r="E1055" s="77"/>
      <c r="F1055" s="78"/>
      <c r="G1055" s="78"/>
      <c r="H1055" s="79"/>
      <c r="I1055" s="80"/>
      <c r="J1055" s="77"/>
      <c r="K1055" s="81" t="b">
        <v>0</v>
      </c>
      <c r="L1055" s="78"/>
      <c r="M1055" s="82"/>
      <c r="N1055" s="78"/>
      <c r="O1055" s="78"/>
      <c r="P1055" s="78"/>
      <c r="Q1055" s="78"/>
      <c r="R1055" s="78"/>
      <c r="S1055" s="78"/>
      <c r="T1055" s="83"/>
    </row>
    <row r="1056" spans="1:20" ht="15" customHeight="1" x14ac:dyDescent="0.3">
      <c r="A1056" s="73"/>
      <c r="B1056" s="74"/>
      <c r="C1056" s="75"/>
      <c r="D1056" s="76"/>
      <c r="E1056" s="77"/>
      <c r="F1056" s="78"/>
      <c r="G1056" s="78"/>
      <c r="H1056" s="79"/>
      <c r="I1056" s="80"/>
      <c r="J1056" s="77"/>
      <c r="K1056" s="81" t="b">
        <v>0</v>
      </c>
      <c r="L1056" s="78"/>
      <c r="M1056" s="82"/>
      <c r="N1056" s="78"/>
      <c r="O1056" s="78"/>
      <c r="P1056" s="78"/>
      <c r="Q1056" s="78"/>
      <c r="R1056" s="78"/>
      <c r="S1056" s="78"/>
      <c r="T1056" s="83"/>
    </row>
    <row r="1057" spans="1:20" ht="15" customHeight="1" x14ac:dyDescent="0.3">
      <c r="A1057" s="73"/>
      <c r="B1057" s="74"/>
      <c r="C1057" s="75"/>
      <c r="D1057" s="76"/>
      <c r="E1057" s="77"/>
      <c r="F1057" s="78"/>
      <c r="G1057" s="78"/>
      <c r="H1057" s="79"/>
      <c r="I1057" s="80"/>
      <c r="J1057" s="77"/>
      <c r="K1057" s="81" t="b">
        <v>0</v>
      </c>
      <c r="L1057" s="78"/>
      <c r="M1057" s="82"/>
      <c r="N1057" s="78"/>
      <c r="O1057" s="78"/>
      <c r="P1057" s="78"/>
      <c r="Q1057" s="78"/>
      <c r="R1057" s="78"/>
      <c r="S1057" s="78"/>
      <c r="T1057" s="83"/>
    </row>
    <row r="1058" spans="1:20" ht="15" customHeight="1" x14ac:dyDescent="0.3">
      <c r="A1058" s="73"/>
      <c r="B1058" s="74"/>
      <c r="C1058" s="75"/>
      <c r="D1058" s="76"/>
      <c r="E1058" s="77"/>
      <c r="F1058" s="78"/>
      <c r="G1058" s="78"/>
      <c r="H1058" s="79"/>
      <c r="I1058" s="80"/>
      <c r="J1058" s="77"/>
      <c r="K1058" s="81" t="b">
        <v>0</v>
      </c>
      <c r="L1058" s="78"/>
      <c r="M1058" s="82"/>
      <c r="N1058" s="78"/>
      <c r="O1058" s="78"/>
      <c r="P1058" s="78"/>
      <c r="Q1058" s="78"/>
      <c r="R1058" s="78"/>
      <c r="S1058" s="78"/>
      <c r="T1058" s="83"/>
    </row>
    <row r="1059" spans="1:20" ht="15" customHeight="1" x14ac:dyDescent="0.3">
      <c r="A1059" s="73"/>
      <c r="B1059" s="74"/>
      <c r="C1059" s="75"/>
      <c r="D1059" s="76"/>
      <c r="E1059" s="77"/>
      <c r="F1059" s="78"/>
      <c r="G1059" s="78"/>
      <c r="H1059" s="79"/>
      <c r="I1059" s="80"/>
      <c r="J1059" s="77"/>
      <c r="K1059" s="81" t="b">
        <v>0</v>
      </c>
      <c r="L1059" s="78"/>
      <c r="M1059" s="82"/>
      <c r="N1059" s="78"/>
      <c r="O1059" s="78"/>
      <c r="P1059" s="78"/>
      <c r="Q1059" s="78"/>
      <c r="R1059" s="78"/>
      <c r="S1059" s="78"/>
      <c r="T1059" s="83"/>
    </row>
    <row r="1060" spans="1:20" ht="15" customHeight="1" x14ac:dyDescent="0.3">
      <c r="A1060" s="73"/>
      <c r="B1060" s="74"/>
      <c r="C1060" s="75"/>
      <c r="D1060" s="76"/>
      <c r="E1060" s="77"/>
      <c r="F1060" s="78"/>
      <c r="G1060" s="78"/>
      <c r="H1060" s="79"/>
      <c r="I1060" s="80"/>
      <c r="J1060" s="77"/>
      <c r="K1060" s="81" t="b">
        <v>0</v>
      </c>
      <c r="L1060" s="78"/>
      <c r="M1060" s="82"/>
      <c r="N1060" s="78"/>
      <c r="O1060" s="78"/>
      <c r="P1060" s="78"/>
      <c r="Q1060" s="78"/>
      <c r="R1060" s="78"/>
      <c r="S1060" s="78"/>
      <c r="T1060" s="83"/>
    </row>
    <row r="1061" spans="1:20" ht="15" customHeight="1" x14ac:dyDescent="0.3">
      <c r="A1061" s="73"/>
      <c r="B1061" s="74"/>
      <c r="C1061" s="75"/>
      <c r="D1061" s="76"/>
      <c r="E1061" s="77"/>
      <c r="F1061" s="78"/>
      <c r="G1061" s="78"/>
      <c r="H1061" s="79"/>
      <c r="I1061" s="80"/>
      <c r="J1061" s="77"/>
      <c r="K1061" s="81" t="b">
        <v>0</v>
      </c>
      <c r="L1061" s="78"/>
      <c r="M1061" s="82"/>
      <c r="N1061" s="78"/>
      <c r="O1061" s="78"/>
      <c r="P1061" s="78"/>
      <c r="Q1061" s="78"/>
      <c r="R1061" s="78"/>
      <c r="S1061" s="78"/>
      <c r="T1061" s="83"/>
    </row>
    <row r="1062" spans="1:20" ht="15" customHeight="1" x14ac:dyDescent="0.3">
      <c r="A1062" s="73"/>
      <c r="B1062" s="74"/>
      <c r="C1062" s="75"/>
      <c r="D1062" s="76"/>
      <c r="E1062" s="77"/>
      <c r="F1062" s="78"/>
      <c r="G1062" s="78"/>
      <c r="H1062" s="79"/>
      <c r="I1062" s="80"/>
      <c r="J1062" s="77"/>
      <c r="K1062" s="81" t="b">
        <v>0</v>
      </c>
      <c r="L1062" s="78"/>
      <c r="M1062" s="82"/>
      <c r="N1062" s="78"/>
      <c r="O1062" s="78"/>
      <c r="P1062" s="78"/>
      <c r="Q1062" s="78"/>
      <c r="R1062" s="78"/>
      <c r="S1062" s="78"/>
      <c r="T1062" s="83"/>
    </row>
    <row r="1063" spans="1:20" ht="15" customHeight="1" x14ac:dyDescent="0.3">
      <c r="A1063" s="73"/>
      <c r="B1063" s="74"/>
      <c r="C1063" s="75"/>
      <c r="D1063" s="76"/>
      <c r="E1063" s="77"/>
      <c r="F1063" s="78"/>
      <c r="G1063" s="78"/>
      <c r="H1063" s="79"/>
      <c r="I1063" s="80"/>
      <c r="J1063" s="77"/>
      <c r="K1063" s="81" t="b">
        <v>0</v>
      </c>
      <c r="L1063" s="78"/>
      <c r="M1063" s="82"/>
      <c r="N1063" s="78"/>
      <c r="O1063" s="78"/>
      <c r="P1063" s="78"/>
      <c r="Q1063" s="78"/>
      <c r="R1063" s="78"/>
      <c r="S1063" s="78"/>
      <c r="T1063" s="83"/>
    </row>
    <row r="1064" spans="1:20" ht="15" customHeight="1" x14ac:dyDescent="0.3">
      <c r="A1064" s="73"/>
      <c r="B1064" s="74"/>
      <c r="C1064" s="75"/>
      <c r="D1064" s="76"/>
      <c r="E1064" s="77"/>
      <c r="F1064" s="78"/>
      <c r="G1064" s="78"/>
      <c r="H1064" s="79"/>
      <c r="I1064" s="80"/>
      <c r="J1064" s="77"/>
      <c r="K1064" s="81" t="b">
        <v>0</v>
      </c>
      <c r="L1064" s="78"/>
      <c r="M1064" s="82"/>
      <c r="N1064" s="78"/>
      <c r="O1064" s="78"/>
      <c r="P1064" s="78"/>
      <c r="Q1064" s="78"/>
      <c r="R1064" s="78"/>
      <c r="S1064" s="78"/>
      <c r="T1064" s="83"/>
    </row>
    <row r="1065" spans="1:20" ht="15" customHeight="1" x14ac:dyDescent="0.3">
      <c r="A1065" s="73"/>
      <c r="B1065" s="74"/>
      <c r="C1065" s="75"/>
      <c r="D1065" s="76"/>
      <c r="E1065" s="77"/>
      <c r="F1065" s="78"/>
      <c r="G1065" s="78"/>
      <c r="H1065" s="79"/>
      <c r="I1065" s="80"/>
      <c r="J1065" s="77"/>
      <c r="K1065" s="81" t="b">
        <v>0</v>
      </c>
      <c r="L1065" s="78"/>
      <c r="M1065" s="82"/>
      <c r="N1065" s="78"/>
      <c r="O1065" s="78"/>
      <c r="P1065" s="78"/>
      <c r="Q1065" s="78"/>
      <c r="R1065" s="78"/>
      <c r="S1065" s="78"/>
      <c r="T1065" s="83"/>
    </row>
    <row r="1066" spans="1:20" ht="15" customHeight="1" x14ac:dyDescent="0.3">
      <c r="A1066" s="73"/>
      <c r="B1066" s="74"/>
      <c r="C1066" s="75"/>
      <c r="D1066" s="76"/>
      <c r="E1066" s="77"/>
      <c r="F1066" s="78"/>
      <c r="G1066" s="78"/>
      <c r="H1066" s="79"/>
      <c r="I1066" s="80"/>
      <c r="J1066" s="77"/>
      <c r="K1066" s="81" t="b">
        <v>0</v>
      </c>
      <c r="L1066" s="78"/>
      <c r="M1066" s="82"/>
      <c r="N1066" s="78"/>
      <c r="O1066" s="78"/>
      <c r="P1066" s="78"/>
      <c r="Q1066" s="78"/>
      <c r="R1066" s="78"/>
      <c r="S1066" s="78"/>
      <c r="T1066" s="83"/>
    </row>
    <row r="1067" spans="1:20" ht="15" customHeight="1" x14ac:dyDescent="0.3">
      <c r="A1067" s="73"/>
      <c r="B1067" s="74"/>
      <c r="C1067" s="75"/>
      <c r="D1067" s="76"/>
      <c r="E1067" s="77"/>
      <c r="F1067" s="78"/>
      <c r="G1067" s="78"/>
      <c r="H1067" s="79"/>
      <c r="I1067" s="80"/>
      <c r="J1067" s="77"/>
      <c r="K1067" s="81" t="b">
        <v>0</v>
      </c>
      <c r="L1067" s="78"/>
      <c r="M1067" s="82"/>
      <c r="N1067" s="78"/>
      <c r="O1067" s="78"/>
      <c r="P1067" s="78"/>
      <c r="Q1067" s="78"/>
      <c r="R1067" s="78"/>
      <c r="S1067" s="78"/>
      <c r="T1067" s="83"/>
    </row>
    <row r="1068" spans="1:20" ht="15" customHeight="1" x14ac:dyDescent="0.3">
      <c r="A1068" s="73"/>
      <c r="B1068" s="74"/>
      <c r="C1068" s="75"/>
      <c r="D1068" s="76"/>
      <c r="E1068" s="77"/>
      <c r="F1068" s="78"/>
      <c r="G1068" s="78"/>
      <c r="H1068" s="79"/>
      <c r="I1068" s="80"/>
      <c r="J1068" s="77"/>
      <c r="K1068" s="81" t="b">
        <v>0</v>
      </c>
      <c r="L1068" s="78"/>
      <c r="M1068" s="82"/>
      <c r="N1068" s="78"/>
      <c r="O1068" s="78"/>
      <c r="P1068" s="78"/>
      <c r="Q1068" s="78"/>
      <c r="R1068" s="78"/>
      <c r="S1068" s="78"/>
      <c r="T1068" s="83"/>
    </row>
    <row r="1069" spans="1:20" ht="15" customHeight="1" x14ac:dyDescent="0.3">
      <c r="A1069" s="73"/>
      <c r="B1069" s="74"/>
      <c r="C1069" s="75"/>
      <c r="D1069" s="76"/>
      <c r="E1069" s="77"/>
      <c r="F1069" s="78"/>
      <c r="G1069" s="78"/>
      <c r="H1069" s="79"/>
      <c r="I1069" s="80"/>
      <c r="J1069" s="77"/>
      <c r="K1069" s="81" t="b">
        <v>0</v>
      </c>
      <c r="L1069" s="78"/>
      <c r="M1069" s="82"/>
      <c r="N1069" s="78"/>
      <c r="O1069" s="78"/>
      <c r="P1069" s="78"/>
      <c r="Q1069" s="78"/>
      <c r="R1069" s="78"/>
      <c r="S1069" s="78"/>
      <c r="T1069" s="83"/>
    </row>
    <row r="1070" spans="1:20" ht="15" customHeight="1" x14ac:dyDescent="0.3">
      <c r="A1070" s="73"/>
      <c r="B1070" s="74"/>
      <c r="C1070" s="75"/>
      <c r="D1070" s="76"/>
      <c r="E1070" s="77"/>
      <c r="F1070" s="78"/>
      <c r="G1070" s="78"/>
      <c r="H1070" s="79"/>
      <c r="I1070" s="80"/>
      <c r="J1070" s="77"/>
      <c r="K1070" s="81" t="b">
        <v>0</v>
      </c>
      <c r="L1070" s="78"/>
      <c r="M1070" s="82"/>
      <c r="N1070" s="78"/>
      <c r="O1070" s="78"/>
      <c r="P1070" s="78"/>
      <c r="Q1070" s="78"/>
      <c r="R1070" s="78"/>
      <c r="S1070" s="78"/>
      <c r="T1070" s="83"/>
    </row>
    <row r="1071" spans="1:20" ht="15" customHeight="1" x14ac:dyDescent="0.3">
      <c r="A1071" s="73"/>
      <c r="B1071" s="74"/>
      <c r="C1071" s="75"/>
      <c r="D1071" s="76"/>
      <c r="E1071" s="77"/>
      <c r="F1071" s="78"/>
      <c r="G1071" s="78"/>
      <c r="H1071" s="79"/>
      <c r="I1071" s="80"/>
      <c r="J1071" s="77"/>
      <c r="K1071" s="81" t="b">
        <v>0</v>
      </c>
      <c r="L1071" s="78"/>
      <c r="M1071" s="82"/>
      <c r="N1071" s="78"/>
      <c r="O1071" s="78"/>
      <c r="P1071" s="78"/>
      <c r="Q1071" s="78"/>
      <c r="R1071" s="78"/>
      <c r="S1071" s="78"/>
      <c r="T1071" s="83"/>
    </row>
    <row r="1072" spans="1:20" ht="15" customHeight="1" x14ac:dyDescent="0.3">
      <c r="A1072" s="73"/>
      <c r="B1072" s="74"/>
      <c r="C1072" s="75"/>
      <c r="D1072" s="76"/>
      <c r="E1072" s="77"/>
      <c r="F1072" s="78"/>
      <c r="G1072" s="78"/>
      <c r="H1072" s="79"/>
      <c r="I1072" s="80"/>
      <c r="J1072" s="77"/>
      <c r="K1072" s="81" t="b">
        <v>0</v>
      </c>
      <c r="L1072" s="78"/>
      <c r="M1072" s="82"/>
      <c r="N1072" s="78"/>
      <c r="O1072" s="78"/>
      <c r="P1072" s="78"/>
      <c r="Q1072" s="78"/>
      <c r="R1072" s="78"/>
      <c r="S1072" s="78"/>
      <c r="T1072" s="83"/>
    </row>
    <row r="1073" spans="1:20" ht="15" customHeight="1" x14ac:dyDescent="0.3">
      <c r="A1073" s="73"/>
      <c r="B1073" s="74"/>
      <c r="C1073" s="75"/>
      <c r="D1073" s="76"/>
      <c r="E1073" s="77"/>
      <c r="F1073" s="78"/>
      <c r="G1073" s="78"/>
      <c r="H1073" s="79"/>
      <c r="I1073" s="80"/>
      <c r="J1073" s="77"/>
      <c r="K1073" s="81" t="b">
        <v>0</v>
      </c>
      <c r="L1073" s="78"/>
      <c r="M1073" s="82"/>
      <c r="N1073" s="78"/>
      <c r="O1073" s="78"/>
      <c r="P1073" s="78"/>
      <c r="Q1073" s="78"/>
      <c r="R1073" s="78"/>
      <c r="S1073" s="78"/>
      <c r="T1073" s="83"/>
    </row>
    <row r="1074" spans="1:20" ht="15" customHeight="1" x14ac:dyDescent="0.3">
      <c r="A1074" s="73"/>
      <c r="B1074" s="74"/>
      <c r="C1074" s="75"/>
      <c r="D1074" s="76"/>
      <c r="E1074" s="77"/>
      <c r="F1074" s="78"/>
      <c r="G1074" s="78"/>
      <c r="H1074" s="79"/>
      <c r="I1074" s="80"/>
      <c r="J1074" s="77"/>
      <c r="K1074" s="81" t="b">
        <v>0</v>
      </c>
      <c r="L1074" s="78"/>
      <c r="M1074" s="82"/>
      <c r="N1074" s="78"/>
      <c r="O1074" s="78"/>
      <c r="P1074" s="78"/>
      <c r="Q1074" s="78"/>
      <c r="R1074" s="78"/>
      <c r="S1074" s="78"/>
      <c r="T1074" s="83"/>
    </row>
    <row r="1075" spans="1:20" ht="15" customHeight="1" x14ac:dyDescent="0.3">
      <c r="A1075" s="73"/>
      <c r="B1075" s="74"/>
      <c r="C1075" s="75"/>
      <c r="D1075" s="76"/>
      <c r="E1075" s="77"/>
      <c r="F1075" s="78"/>
      <c r="G1075" s="78"/>
      <c r="H1075" s="79"/>
      <c r="I1075" s="80"/>
      <c r="J1075" s="77"/>
      <c r="K1075" s="81" t="b">
        <v>0</v>
      </c>
      <c r="L1075" s="78"/>
      <c r="M1075" s="82"/>
      <c r="N1075" s="78"/>
      <c r="O1075" s="78"/>
      <c r="P1075" s="78"/>
      <c r="Q1075" s="78"/>
      <c r="R1075" s="78"/>
      <c r="S1075" s="78"/>
      <c r="T1075" s="83"/>
    </row>
    <row r="1076" spans="1:20" ht="15" customHeight="1" x14ac:dyDescent="0.3">
      <c r="A1076" s="73"/>
      <c r="B1076" s="74"/>
      <c r="C1076" s="75"/>
      <c r="D1076" s="76"/>
      <c r="E1076" s="77"/>
      <c r="F1076" s="78"/>
      <c r="G1076" s="78"/>
      <c r="H1076" s="79"/>
      <c r="I1076" s="80"/>
      <c r="J1076" s="77"/>
      <c r="K1076" s="81" t="b">
        <v>0</v>
      </c>
      <c r="L1076" s="78"/>
      <c r="M1076" s="82"/>
      <c r="N1076" s="78"/>
      <c r="O1076" s="78"/>
      <c r="P1076" s="78"/>
      <c r="Q1076" s="78"/>
      <c r="R1076" s="78"/>
      <c r="S1076" s="78"/>
      <c r="T1076" s="83"/>
    </row>
    <row r="1077" spans="1:20" ht="15" customHeight="1" x14ac:dyDescent="0.3">
      <c r="A1077" s="73"/>
      <c r="B1077" s="74"/>
      <c r="C1077" s="75"/>
      <c r="D1077" s="76"/>
      <c r="E1077" s="77"/>
      <c r="F1077" s="78"/>
      <c r="G1077" s="78"/>
      <c r="H1077" s="79"/>
      <c r="I1077" s="80"/>
      <c r="J1077" s="77"/>
      <c r="K1077" s="81" t="b">
        <v>0</v>
      </c>
      <c r="L1077" s="78"/>
      <c r="M1077" s="82"/>
      <c r="N1077" s="78"/>
      <c r="O1077" s="78"/>
      <c r="P1077" s="78"/>
      <c r="Q1077" s="78"/>
      <c r="R1077" s="78"/>
      <c r="S1077" s="78"/>
      <c r="T1077" s="83"/>
    </row>
    <row r="1078" spans="1:20" ht="15" customHeight="1" x14ac:dyDescent="0.3">
      <c r="A1078" s="73"/>
      <c r="B1078" s="74"/>
      <c r="C1078" s="75"/>
      <c r="D1078" s="76"/>
      <c r="E1078" s="77"/>
      <c r="F1078" s="78"/>
      <c r="G1078" s="78"/>
      <c r="H1078" s="79"/>
      <c r="I1078" s="80"/>
      <c r="J1078" s="77"/>
      <c r="K1078" s="81" t="b">
        <v>0</v>
      </c>
      <c r="L1078" s="78"/>
      <c r="M1078" s="82"/>
      <c r="N1078" s="78"/>
      <c r="O1078" s="78"/>
      <c r="P1078" s="78"/>
      <c r="Q1078" s="78"/>
      <c r="R1078" s="78"/>
      <c r="S1078" s="78"/>
      <c r="T1078" s="83"/>
    </row>
    <row r="1079" spans="1:20" ht="15" customHeight="1" x14ac:dyDescent="0.3">
      <c r="A1079" s="73"/>
      <c r="B1079" s="74"/>
      <c r="C1079" s="75"/>
      <c r="D1079" s="76"/>
      <c r="E1079" s="77"/>
      <c r="F1079" s="78"/>
      <c r="G1079" s="78"/>
      <c r="H1079" s="79"/>
      <c r="I1079" s="80"/>
      <c r="J1079" s="77"/>
      <c r="K1079" s="81" t="b">
        <v>0</v>
      </c>
      <c r="L1079" s="78"/>
      <c r="M1079" s="82"/>
      <c r="N1079" s="78"/>
      <c r="O1079" s="78"/>
      <c r="P1079" s="78"/>
      <c r="Q1079" s="78"/>
      <c r="R1079" s="78"/>
      <c r="S1079" s="78"/>
      <c r="T1079" s="83"/>
    </row>
    <row r="1080" spans="1:20" ht="15" customHeight="1" x14ac:dyDescent="0.3">
      <c r="A1080" s="73"/>
      <c r="B1080" s="74"/>
      <c r="C1080" s="75"/>
      <c r="D1080" s="76"/>
      <c r="E1080" s="77"/>
      <c r="F1080" s="78"/>
      <c r="G1080" s="78"/>
      <c r="H1080" s="79"/>
      <c r="I1080" s="80"/>
      <c r="J1080" s="77"/>
      <c r="K1080" s="81" t="b">
        <v>0</v>
      </c>
      <c r="L1080" s="78"/>
      <c r="M1080" s="82"/>
      <c r="N1080" s="78"/>
      <c r="O1080" s="78"/>
      <c r="P1080" s="78"/>
      <c r="Q1080" s="78"/>
      <c r="R1080" s="78"/>
      <c r="S1080" s="78"/>
      <c r="T1080" s="83"/>
    </row>
    <row r="1081" spans="1:20" ht="15" customHeight="1" x14ac:dyDescent="0.3">
      <c r="A1081" s="73"/>
      <c r="B1081" s="74"/>
      <c r="C1081" s="75"/>
      <c r="D1081" s="76"/>
      <c r="E1081" s="77"/>
      <c r="F1081" s="78"/>
      <c r="G1081" s="78"/>
      <c r="H1081" s="79"/>
      <c r="I1081" s="80"/>
      <c r="J1081" s="77"/>
      <c r="K1081" s="81" t="b">
        <v>0</v>
      </c>
      <c r="L1081" s="78"/>
      <c r="M1081" s="82"/>
      <c r="N1081" s="78"/>
      <c r="O1081" s="78"/>
      <c r="P1081" s="78"/>
      <c r="Q1081" s="78"/>
      <c r="R1081" s="78"/>
      <c r="S1081" s="78"/>
      <c r="T1081" s="83"/>
    </row>
    <row r="1082" spans="1:20" ht="15" customHeight="1" x14ac:dyDescent="0.3">
      <c r="A1082" s="73"/>
      <c r="B1082" s="74"/>
      <c r="C1082" s="75"/>
      <c r="D1082" s="76"/>
      <c r="E1082" s="77"/>
      <c r="F1082" s="78"/>
      <c r="G1082" s="78"/>
      <c r="H1082" s="79"/>
      <c r="I1082" s="80"/>
      <c r="J1082" s="77"/>
      <c r="K1082" s="81" t="b">
        <v>0</v>
      </c>
      <c r="L1082" s="78"/>
      <c r="M1082" s="82"/>
      <c r="N1082" s="78"/>
      <c r="O1082" s="78"/>
      <c r="P1082" s="78"/>
      <c r="Q1082" s="78"/>
      <c r="R1082" s="78"/>
      <c r="S1082" s="78"/>
      <c r="T1082" s="83"/>
    </row>
    <row r="1083" spans="1:20" ht="15" customHeight="1" x14ac:dyDescent="0.3">
      <c r="A1083" s="73"/>
      <c r="B1083" s="74"/>
      <c r="C1083" s="75"/>
      <c r="D1083" s="76"/>
      <c r="E1083" s="77"/>
      <c r="F1083" s="78"/>
      <c r="G1083" s="78"/>
      <c r="H1083" s="79"/>
      <c r="I1083" s="80"/>
      <c r="J1083" s="77"/>
      <c r="K1083" s="81" t="b">
        <v>0</v>
      </c>
      <c r="L1083" s="78"/>
      <c r="M1083" s="82"/>
      <c r="N1083" s="78"/>
      <c r="O1083" s="78"/>
      <c r="P1083" s="78"/>
      <c r="Q1083" s="78"/>
      <c r="R1083" s="78"/>
      <c r="S1083" s="78"/>
      <c r="T1083" s="83"/>
    </row>
    <row r="1084" spans="1:20" ht="15" customHeight="1" x14ac:dyDescent="0.3">
      <c r="A1084" s="73"/>
      <c r="B1084" s="74"/>
      <c r="C1084" s="75"/>
      <c r="D1084" s="76"/>
      <c r="E1084" s="77"/>
      <c r="F1084" s="78"/>
      <c r="G1084" s="78"/>
      <c r="H1084" s="79"/>
      <c r="I1084" s="80"/>
      <c r="J1084" s="77"/>
      <c r="K1084" s="81" t="b">
        <v>0</v>
      </c>
      <c r="L1084" s="78"/>
      <c r="M1084" s="82"/>
      <c r="N1084" s="78"/>
      <c r="O1084" s="78"/>
      <c r="P1084" s="78"/>
      <c r="Q1084" s="78"/>
      <c r="R1084" s="78"/>
      <c r="S1084" s="78"/>
      <c r="T1084" s="83"/>
    </row>
    <row r="1085" spans="1:20" ht="15" customHeight="1" x14ac:dyDescent="0.3">
      <c r="A1085" s="73"/>
      <c r="B1085" s="74"/>
      <c r="C1085" s="75"/>
      <c r="D1085" s="76"/>
      <c r="E1085" s="77"/>
      <c r="F1085" s="78"/>
      <c r="G1085" s="78"/>
      <c r="H1085" s="79"/>
      <c r="I1085" s="80"/>
      <c r="J1085" s="77"/>
      <c r="K1085" s="81" t="b">
        <v>0</v>
      </c>
      <c r="L1085" s="78"/>
      <c r="M1085" s="82"/>
      <c r="N1085" s="78"/>
      <c r="O1085" s="78"/>
      <c r="P1085" s="78"/>
      <c r="Q1085" s="78"/>
      <c r="R1085" s="78"/>
      <c r="S1085" s="78"/>
      <c r="T1085" s="83"/>
    </row>
    <row r="1086" spans="1:20" ht="15" customHeight="1" x14ac:dyDescent="0.3">
      <c r="A1086" s="73"/>
      <c r="B1086" s="74"/>
      <c r="C1086" s="75"/>
      <c r="D1086" s="76"/>
      <c r="E1086" s="77"/>
      <c r="F1086" s="78"/>
      <c r="G1086" s="78"/>
      <c r="H1086" s="79"/>
      <c r="I1086" s="80"/>
      <c r="J1086" s="77"/>
      <c r="K1086" s="81" t="b">
        <v>0</v>
      </c>
      <c r="L1086" s="78"/>
      <c r="M1086" s="82"/>
      <c r="N1086" s="78"/>
      <c r="O1086" s="78"/>
      <c r="P1086" s="78"/>
      <c r="Q1086" s="78"/>
      <c r="R1086" s="78"/>
      <c r="S1086" s="78"/>
      <c r="T1086" s="83"/>
    </row>
    <row r="1087" spans="1:20" ht="15" customHeight="1" x14ac:dyDescent="0.3">
      <c r="A1087" s="73"/>
      <c r="B1087" s="74"/>
      <c r="C1087" s="75"/>
      <c r="D1087" s="76"/>
      <c r="E1087" s="77"/>
      <c r="F1087" s="78"/>
      <c r="G1087" s="78"/>
      <c r="H1087" s="79"/>
      <c r="I1087" s="80"/>
      <c r="J1087" s="77"/>
      <c r="K1087" s="81" t="b">
        <v>0</v>
      </c>
      <c r="L1087" s="78"/>
      <c r="M1087" s="82"/>
      <c r="N1087" s="78"/>
      <c r="O1087" s="78"/>
      <c r="P1087" s="78"/>
      <c r="Q1087" s="78"/>
      <c r="R1087" s="78"/>
      <c r="S1087" s="78"/>
      <c r="T1087" s="83"/>
    </row>
    <row r="1088" spans="1:20" ht="15" customHeight="1" x14ac:dyDescent="0.3">
      <c r="A1088" s="73"/>
      <c r="B1088" s="74"/>
      <c r="C1088" s="75"/>
      <c r="D1088" s="76"/>
      <c r="E1088" s="77"/>
      <c r="F1088" s="78"/>
      <c r="G1088" s="78"/>
      <c r="H1088" s="79"/>
      <c r="I1088" s="80"/>
      <c r="J1088" s="77"/>
      <c r="K1088" s="81" t="b">
        <v>0</v>
      </c>
      <c r="L1088" s="78"/>
      <c r="M1088" s="82"/>
      <c r="N1088" s="78"/>
      <c r="O1088" s="78"/>
      <c r="P1088" s="78"/>
      <c r="Q1088" s="78"/>
      <c r="R1088" s="78"/>
      <c r="S1088" s="78"/>
      <c r="T1088" s="83"/>
    </row>
    <row r="1089" spans="1:20" ht="15" customHeight="1" x14ac:dyDescent="0.3">
      <c r="A1089" s="73"/>
      <c r="B1089" s="74"/>
      <c r="C1089" s="75"/>
      <c r="D1089" s="76"/>
      <c r="E1089" s="77"/>
      <c r="F1089" s="78"/>
      <c r="G1089" s="78"/>
      <c r="H1089" s="79"/>
      <c r="I1089" s="80"/>
      <c r="J1089" s="77"/>
      <c r="K1089" s="81" t="b">
        <v>0</v>
      </c>
      <c r="L1089" s="78"/>
      <c r="M1089" s="82"/>
      <c r="N1089" s="78"/>
      <c r="O1089" s="78"/>
      <c r="P1089" s="78"/>
      <c r="Q1089" s="78"/>
      <c r="R1089" s="78"/>
      <c r="S1089" s="78"/>
      <c r="T1089" s="83"/>
    </row>
    <row r="1090" spans="1:20" ht="15" customHeight="1" x14ac:dyDescent="0.3">
      <c r="A1090" s="73"/>
      <c r="B1090" s="74"/>
      <c r="C1090" s="75"/>
      <c r="D1090" s="76"/>
      <c r="E1090" s="77"/>
      <c r="F1090" s="78"/>
      <c r="G1090" s="78"/>
      <c r="H1090" s="79"/>
      <c r="I1090" s="80"/>
      <c r="J1090" s="77"/>
      <c r="K1090" s="81" t="b">
        <v>0</v>
      </c>
      <c r="L1090" s="78"/>
      <c r="M1090" s="82"/>
      <c r="N1090" s="78"/>
      <c r="O1090" s="78"/>
      <c r="P1090" s="78"/>
      <c r="Q1090" s="78"/>
      <c r="R1090" s="78"/>
      <c r="S1090" s="78"/>
      <c r="T1090" s="83"/>
    </row>
    <row r="1091" spans="1:20" ht="15" customHeight="1" x14ac:dyDescent="0.3">
      <c r="A1091" s="73"/>
      <c r="B1091" s="74"/>
      <c r="C1091" s="75"/>
      <c r="D1091" s="76"/>
      <c r="E1091" s="77"/>
      <c r="F1091" s="78"/>
      <c r="G1091" s="78"/>
      <c r="H1091" s="79"/>
      <c r="I1091" s="80"/>
      <c r="J1091" s="77"/>
      <c r="K1091" s="81" t="b">
        <v>0</v>
      </c>
      <c r="L1091" s="78"/>
      <c r="M1091" s="82"/>
      <c r="N1091" s="78"/>
      <c r="O1091" s="78"/>
      <c r="P1091" s="78"/>
      <c r="Q1091" s="78"/>
      <c r="R1091" s="78"/>
      <c r="S1091" s="78"/>
      <c r="T1091" s="83"/>
    </row>
    <row r="1092" spans="1:20" ht="15" customHeight="1" x14ac:dyDescent="0.3">
      <c r="A1092" s="73"/>
      <c r="B1092" s="74"/>
      <c r="C1092" s="75"/>
      <c r="D1092" s="76"/>
      <c r="E1092" s="77"/>
      <c r="F1092" s="78"/>
      <c r="G1092" s="78"/>
      <c r="H1092" s="79"/>
      <c r="I1092" s="80"/>
      <c r="J1092" s="77"/>
      <c r="K1092" s="81" t="b">
        <v>0</v>
      </c>
      <c r="L1092" s="78"/>
      <c r="M1092" s="82"/>
      <c r="N1092" s="78"/>
      <c r="O1092" s="78"/>
      <c r="P1092" s="78"/>
      <c r="Q1092" s="78"/>
      <c r="R1092" s="78"/>
      <c r="S1092" s="78"/>
      <c r="T1092" s="83"/>
    </row>
    <row r="1093" spans="1:20" ht="15" customHeight="1" x14ac:dyDescent="0.3">
      <c r="A1093" s="73"/>
      <c r="B1093" s="74"/>
      <c r="C1093" s="75"/>
      <c r="D1093" s="76"/>
      <c r="E1093" s="77"/>
      <c r="F1093" s="78"/>
      <c r="G1093" s="78"/>
      <c r="H1093" s="79"/>
      <c r="I1093" s="80"/>
      <c r="J1093" s="77"/>
      <c r="K1093" s="81" t="b">
        <v>0</v>
      </c>
      <c r="L1093" s="78"/>
      <c r="M1093" s="82"/>
      <c r="N1093" s="78"/>
      <c r="O1093" s="78"/>
      <c r="P1093" s="78"/>
      <c r="Q1093" s="78"/>
      <c r="R1093" s="78"/>
      <c r="S1093" s="78"/>
      <c r="T1093" s="83"/>
    </row>
    <row r="1094" spans="1:20" ht="15" customHeight="1" x14ac:dyDescent="0.3">
      <c r="A1094" s="73"/>
      <c r="B1094" s="74"/>
      <c r="C1094" s="75"/>
      <c r="D1094" s="76"/>
      <c r="E1094" s="77"/>
      <c r="F1094" s="78"/>
      <c r="G1094" s="78"/>
      <c r="H1094" s="79"/>
      <c r="I1094" s="80"/>
      <c r="J1094" s="77"/>
      <c r="K1094" s="81" t="b">
        <v>0</v>
      </c>
      <c r="L1094" s="78"/>
      <c r="M1094" s="82"/>
      <c r="N1094" s="78"/>
      <c r="O1094" s="78"/>
      <c r="P1094" s="78"/>
      <c r="Q1094" s="78"/>
      <c r="R1094" s="78"/>
      <c r="S1094" s="78"/>
      <c r="T1094" s="83"/>
    </row>
    <row r="1095" spans="1:20" ht="15" customHeight="1" x14ac:dyDescent="0.3">
      <c r="A1095" s="73"/>
      <c r="B1095" s="74"/>
      <c r="C1095" s="75"/>
      <c r="D1095" s="76"/>
      <c r="E1095" s="77"/>
      <c r="F1095" s="78"/>
      <c r="G1095" s="78"/>
      <c r="H1095" s="79"/>
      <c r="I1095" s="80"/>
      <c r="J1095" s="77"/>
      <c r="K1095" s="81" t="b">
        <v>0</v>
      </c>
      <c r="L1095" s="78"/>
      <c r="M1095" s="82"/>
      <c r="N1095" s="78"/>
      <c r="O1095" s="78"/>
      <c r="P1095" s="78"/>
      <c r="Q1095" s="78"/>
      <c r="R1095" s="78"/>
      <c r="S1095" s="78"/>
      <c r="T1095" s="83"/>
    </row>
    <row r="1096" spans="1:20" ht="15" customHeight="1" x14ac:dyDescent="0.3">
      <c r="A1096" s="73"/>
      <c r="B1096" s="74"/>
      <c r="C1096" s="75"/>
      <c r="D1096" s="76"/>
      <c r="E1096" s="77"/>
      <c r="F1096" s="78"/>
      <c r="G1096" s="78"/>
      <c r="H1096" s="79"/>
      <c r="I1096" s="80"/>
      <c r="J1096" s="77"/>
      <c r="K1096" s="81" t="b">
        <v>0</v>
      </c>
      <c r="L1096" s="78"/>
      <c r="M1096" s="82"/>
      <c r="N1096" s="78"/>
      <c r="O1096" s="78"/>
      <c r="P1096" s="78"/>
      <c r="Q1096" s="78"/>
      <c r="R1096" s="78"/>
      <c r="S1096" s="78"/>
      <c r="T1096" s="83"/>
    </row>
    <row r="1097" spans="1:20" ht="15" customHeight="1" x14ac:dyDescent="0.3">
      <c r="A1097" s="73"/>
      <c r="B1097" s="74"/>
      <c r="C1097" s="75"/>
      <c r="D1097" s="76"/>
      <c r="E1097" s="77"/>
      <c r="F1097" s="78"/>
      <c r="G1097" s="78"/>
      <c r="H1097" s="79"/>
      <c r="I1097" s="80"/>
      <c r="J1097" s="77"/>
      <c r="K1097" s="81" t="b">
        <v>0</v>
      </c>
      <c r="L1097" s="78"/>
      <c r="M1097" s="82"/>
      <c r="N1097" s="78"/>
      <c r="O1097" s="78"/>
      <c r="P1097" s="78"/>
      <c r="Q1097" s="78"/>
      <c r="R1097" s="78"/>
      <c r="S1097" s="78"/>
      <c r="T1097" s="83"/>
    </row>
    <row r="1098" spans="1:20" ht="15" customHeight="1" x14ac:dyDescent="0.3">
      <c r="A1098" s="73"/>
      <c r="B1098" s="74"/>
      <c r="C1098" s="75"/>
      <c r="D1098" s="76"/>
      <c r="E1098" s="77"/>
      <c r="F1098" s="78"/>
      <c r="G1098" s="78"/>
      <c r="H1098" s="79"/>
      <c r="I1098" s="80"/>
      <c r="J1098" s="77"/>
      <c r="K1098" s="81" t="b">
        <v>0</v>
      </c>
      <c r="L1098" s="78"/>
      <c r="M1098" s="82"/>
      <c r="N1098" s="78"/>
      <c r="O1098" s="78"/>
      <c r="P1098" s="78"/>
      <c r="Q1098" s="78"/>
      <c r="R1098" s="78"/>
      <c r="S1098" s="78"/>
      <c r="T1098" s="83"/>
    </row>
    <row r="1099" spans="1:20" ht="15" customHeight="1" x14ac:dyDescent="0.3">
      <c r="A1099" s="73"/>
      <c r="B1099" s="74"/>
      <c r="C1099" s="75"/>
      <c r="D1099" s="76"/>
      <c r="E1099" s="77"/>
      <c r="F1099" s="78"/>
      <c r="G1099" s="78"/>
      <c r="H1099" s="79"/>
      <c r="I1099" s="80"/>
      <c r="J1099" s="77"/>
      <c r="K1099" s="81" t="b">
        <v>0</v>
      </c>
      <c r="L1099" s="78"/>
      <c r="M1099" s="82"/>
      <c r="N1099" s="78"/>
      <c r="O1099" s="78"/>
      <c r="P1099" s="78"/>
      <c r="Q1099" s="78"/>
      <c r="R1099" s="78"/>
      <c r="S1099" s="78"/>
      <c r="T1099" s="83"/>
    </row>
    <row r="1100" spans="1:20" ht="15" customHeight="1" x14ac:dyDescent="0.3">
      <c r="A1100" s="73"/>
      <c r="B1100" s="74"/>
      <c r="C1100" s="75"/>
      <c r="D1100" s="76"/>
      <c r="E1100" s="77"/>
      <c r="F1100" s="78"/>
      <c r="G1100" s="78"/>
      <c r="H1100" s="79"/>
      <c r="I1100" s="80"/>
      <c r="J1100" s="77"/>
      <c r="K1100" s="81" t="b">
        <v>0</v>
      </c>
      <c r="L1100" s="78"/>
      <c r="M1100" s="82"/>
      <c r="N1100" s="78"/>
      <c r="O1100" s="78"/>
      <c r="P1100" s="78"/>
      <c r="Q1100" s="78"/>
      <c r="R1100" s="78"/>
      <c r="S1100" s="78"/>
      <c r="T1100" s="83"/>
    </row>
    <row r="1101" spans="1:20" ht="15" customHeight="1" x14ac:dyDescent="0.3">
      <c r="A1101" s="73"/>
      <c r="B1101" s="74"/>
      <c r="C1101" s="75"/>
      <c r="D1101" s="76"/>
      <c r="E1101" s="77"/>
      <c r="F1101" s="78"/>
      <c r="G1101" s="78"/>
      <c r="H1101" s="79"/>
      <c r="I1101" s="80"/>
      <c r="J1101" s="77"/>
      <c r="K1101" s="81" t="b">
        <v>0</v>
      </c>
      <c r="L1101" s="78"/>
      <c r="M1101" s="82"/>
      <c r="N1101" s="78"/>
      <c r="O1101" s="78"/>
      <c r="P1101" s="78"/>
      <c r="Q1101" s="78"/>
      <c r="R1101" s="78"/>
      <c r="S1101" s="78"/>
      <c r="T1101" s="83"/>
    </row>
    <row r="1102" spans="1:20" ht="15" customHeight="1" x14ac:dyDescent="0.3">
      <c r="A1102" s="73"/>
      <c r="B1102" s="74"/>
      <c r="C1102" s="75"/>
      <c r="D1102" s="76"/>
      <c r="E1102" s="77"/>
      <c r="F1102" s="78"/>
      <c r="G1102" s="78"/>
      <c r="H1102" s="79"/>
      <c r="I1102" s="80"/>
      <c r="J1102" s="77"/>
      <c r="K1102" s="81" t="b">
        <v>0</v>
      </c>
      <c r="L1102" s="78"/>
      <c r="M1102" s="82"/>
      <c r="N1102" s="78"/>
      <c r="O1102" s="78"/>
      <c r="P1102" s="78"/>
      <c r="Q1102" s="78"/>
      <c r="R1102" s="78"/>
      <c r="S1102" s="78"/>
      <c r="T1102" s="83"/>
    </row>
    <row r="1103" spans="1:20" ht="15" customHeight="1" x14ac:dyDescent="0.3">
      <c r="A1103" s="73"/>
      <c r="B1103" s="74"/>
      <c r="C1103" s="75"/>
      <c r="D1103" s="76"/>
      <c r="E1103" s="77"/>
      <c r="F1103" s="78"/>
      <c r="G1103" s="78"/>
      <c r="H1103" s="79"/>
      <c r="I1103" s="80"/>
      <c r="J1103" s="77"/>
      <c r="K1103" s="81" t="b">
        <v>0</v>
      </c>
      <c r="L1103" s="78"/>
      <c r="M1103" s="82"/>
      <c r="N1103" s="78"/>
      <c r="O1103" s="78"/>
      <c r="P1103" s="78"/>
      <c r="Q1103" s="78"/>
      <c r="R1103" s="78"/>
      <c r="S1103" s="78"/>
      <c r="T1103" s="83"/>
    </row>
    <row r="1104" spans="1:20" ht="15" customHeight="1" x14ac:dyDescent="0.3">
      <c r="A1104" s="73"/>
      <c r="B1104" s="74"/>
      <c r="C1104" s="75"/>
      <c r="D1104" s="76"/>
      <c r="E1104" s="77"/>
      <c r="F1104" s="78"/>
      <c r="G1104" s="78"/>
      <c r="H1104" s="79"/>
      <c r="I1104" s="80"/>
      <c r="J1104" s="77"/>
      <c r="K1104" s="81" t="b">
        <v>0</v>
      </c>
      <c r="L1104" s="78"/>
      <c r="M1104" s="82"/>
      <c r="N1104" s="78"/>
      <c r="O1104" s="78"/>
      <c r="P1104" s="78"/>
      <c r="Q1104" s="78"/>
      <c r="R1104" s="78"/>
      <c r="S1104" s="78"/>
      <c r="T1104" s="83"/>
    </row>
    <row r="1105" spans="1:20" ht="15" customHeight="1" x14ac:dyDescent="0.3">
      <c r="A1105" s="73"/>
      <c r="B1105" s="74"/>
      <c r="C1105" s="75"/>
      <c r="D1105" s="76"/>
      <c r="E1105" s="77"/>
      <c r="F1105" s="78"/>
      <c r="G1105" s="78"/>
      <c r="H1105" s="79"/>
      <c r="I1105" s="80"/>
      <c r="J1105" s="77"/>
      <c r="K1105" s="81" t="b">
        <v>0</v>
      </c>
      <c r="L1105" s="78"/>
      <c r="M1105" s="82"/>
      <c r="N1105" s="78"/>
      <c r="O1105" s="78"/>
      <c r="P1105" s="78"/>
      <c r="Q1105" s="78"/>
      <c r="R1105" s="78"/>
      <c r="S1105" s="78"/>
      <c r="T1105" s="83"/>
    </row>
    <row r="1106" spans="1:20" ht="15" customHeight="1" x14ac:dyDescent="0.3">
      <c r="A1106" s="73"/>
      <c r="B1106" s="74"/>
      <c r="C1106" s="75"/>
      <c r="D1106" s="76"/>
      <c r="E1106" s="77"/>
      <c r="F1106" s="78"/>
      <c r="G1106" s="78"/>
      <c r="H1106" s="79"/>
      <c r="I1106" s="80"/>
      <c r="J1106" s="77"/>
      <c r="K1106" s="81" t="b">
        <v>0</v>
      </c>
      <c r="L1106" s="78"/>
      <c r="M1106" s="82"/>
      <c r="N1106" s="78"/>
      <c r="O1106" s="78"/>
      <c r="P1106" s="78"/>
      <c r="Q1106" s="78"/>
      <c r="R1106" s="78"/>
      <c r="S1106" s="78"/>
      <c r="T1106" s="83"/>
    </row>
    <row r="1107" spans="1:20" ht="15" customHeight="1" x14ac:dyDescent="0.3">
      <c r="A1107" s="73"/>
      <c r="B1107" s="74"/>
      <c r="C1107" s="75"/>
      <c r="D1107" s="76"/>
      <c r="E1107" s="77"/>
      <c r="F1107" s="78"/>
      <c r="G1107" s="78"/>
      <c r="H1107" s="79"/>
      <c r="I1107" s="80"/>
      <c r="J1107" s="77"/>
      <c r="K1107" s="81" t="b">
        <v>0</v>
      </c>
      <c r="L1107" s="78"/>
      <c r="M1107" s="82"/>
      <c r="N1107" s="78"/>
      <c r="O1107" s="78"/>
      <c r="P1107" s="78"/>
      <c r="Q1107" s="78"/>
      <c r="R1107" s="78"/>
      <c r="S1107" s="78"/>
      <c r="T1107" s="83"/>
    </row>
    <row r="1108" spans="1:20" ht="15" customHeight="1" x14ac:dyDescent="0.3">
      <c r="A1108" s="73"/>
      <c r="B1108" s="74"/>
      <c r="C1108" s="75"/>
      <c r="D1108" s="76"/>
      <c r="E1108" s="77"/>
      <c r="F1108" s="78"/>
      <c r="G1108" s="78"/>
      <c r="H1108" s="79"/>
      <c r="I1108" s="80"/>
      <c r="J1108" s="77"/>
      <c r="K1108" s="81" t="b">
        <v>0</v>
      </c>
      <c r="L1108" s="78"/>
      <c r="M1108" s="82"/>
      <c r="N1108" s="78"/>
      <c r="O1108" s="78"/>
      <c r="P1108" s="78"/>
      <c r="Q1108" s="78"/>
      <c r="R1108" s="78"/>
      <c r="S1108" s="78"/>
      <c r="T1108" s="83"/>
    </row>
    <row r="1109" spans="1:20" ht="15" customHeight="1" x14ac:dyDescent="0.3">
      <c r="A1109" s="73"/>
      <c r="B1109" s="74"/>
      <c r="C1109" s="75"/>
      <c r="D1109" s="76"/>
      <c r="E1109" s="77"/>
      <c r="F1109" s="78"/>
      <c r="G1109" s="78"/>
      <c r="H1109" s="79"/>
      <c r="I1109" s="80"/>
      <c r="J1109" s="77"/>
      <c r="K1109" s="81" t="b">
        <v>0</v>
      </c>
      <c r="L1109" s="78"/>
      <c r="M1109" s="82"/>
      <c r="N1109" s="78"/>
      <c r="O1109" s="78"/>
      <c r="P1109" s="78"/>
      <c r="Q1109" s="78"/>
      <c r="R1109" s="78"/>
      <c r="S1109" s="78"/>
      <c r="T1109" s="83"/>
    </row>
    <row r="1110" spans="1:20" ht="15" customHeight="1" x14ac:dyDescent="0.3">
      <c r="A1110" s="73"/>
      <c r="B1110" s="74"/>
      <c r="C1110" s="75"/>
      <c r="D1110" s="76"/>
      <c r="E1110" s="77"/>
      <c r="F1110" s="78"/>
      <c r="G1110" s="78"/>
      <c r="H1110" s="79"/>
      <c r="I1110" s="80"/>
      <c r="J1110" s="77"/>
      <c r="K1110" s="81" t="b">
        <v>0</v>
      </c>
      <c r="L1110" s="78"/>
      <c r="M1110" s="82"/>
      <c r="N1110" s="78"/>
      <c r="O1110" s="78"/>
      <c r="P1110" s="78"/>
      <c r="Q1110" s="78"/>
      <c r="R1110" s="78"/>
      <c r="S1110" s="78"/>
      <c r="T1110" s="83"/>
    </row>
    <row r="1111" spans="1:20" ht="15" customHeight="1" x14ac:dyDescent="0.3">
      <c r="A1111" s="73"/>
      <c r="B1111" s="74"/>
      <c r="C1111" s="75"/>
      <c r="D1111" s="76"/>
      <c r="E1111" s="77"/>
      <c r="F1111" s="78"/>
      <c r="G1111" s="78"/>
      <c r="H1111" s="79"/>
      <c r="I1111" s="80"/>
      <c r="J1111" s="77"/>
      <c r="K1111" s="81" t="b">
        <v>0</v>
      </c>
      <c r="L1111" s="78"/>
      <c r="M1111" s="82"/>
      <c r="N1111" s="78"/>
      <c r="O1111" s="78"/>
      <c r="P1111" s="78"/>
      <c r="Q1111" s="78"/>
      <c r="R1111" s="78"/>
      <c r="S1111" s="78"/>
      <c r="T1111" s="83"/>
    </row>
    <row r="1112" spans="1:20" ht="15" customHeight="1" x14ac:dyDescent="0.3">
      <c r="A1112" s="73"/>
      <c r="B1112" s="74"/>
      <c r="C1112" s="75"/>
      <c r="D1112" s="76"/>
      <c r="E1112" s="77"/>
      <c r="F1112" s="78"/>
      <c r="G1112" s="78"/>
      <c r="H1112" s="79"/>
      <c r="I1112" s="80"/>
      <c r="J1112" s="77"/>
      <c r="K1112" s="81" t="b">
        <v>0</v>
      </c>
      <c r="L1112" s="78"/>
      <c r="M1112" s="82"/>
      <c r="N1112" s="78"/>
      <c r="O1112" s="78"/>
      <c r="P1112" s="78"/>
      <c r="Q1112" s="78"/>
      <c r="R1112" s="78"/>
      <c r="S1112" s="78"/>
      <c r="T1112" s="83"/>
    </row>
    <row r="1113" spans="1:20" ht="15" customHeight="1" x14ac:dyDescent="0.3">
      <c r="A1113" s="73"/>
      <c r="B1113" s="74"/>
      <c r="C1113" s="75"/>
      <c r="D1113" s="76"/>
      <c r="E1113" s="77"/>
      <c r="F1113" s="78"/>
      <c r="G1113" s="78"/>
      <c r="H1113" s="79"/>
      <c r="I1113" s="80"/>
      <c r="J1113" s="77"/>
      <c r="K1113" s="81" t="b">
        <v>0</v>
      </c>
      <c r="L1113" s="78"/>
      <c r="M1113" s="82"/>
      <c r="N1113" s="78"/>
      <c r="O1113" s="78"/>
      <c r="P1113" s="78"/>
      <c r="Q1113" s="78"/>
      <c r="R1113" s="78"/>
      <c r="S1113" s="78"/>
      <c r="T1113" s="83"/>
    </row>
    <row r="1114" spans="1:20" ht="15" customHeight="1" x14ac:dyDescent="0.3">
      <c r="A1114" s="73"/>
      <c r="B1114" s="74"/>
      <c r="C1114" s="75"/>
      <c r="D1114" s="76"/>
      <c r="E1114" s="77"/>
      <c r="F1114" s="78"/>
      <c r="G1114" s="78"/>
      <c r="H1114" s="79"/>
      <c r="I1114" s="80"/>
      <c r="J1114" s="77"/>
      <c r="K1114" s="81" t="b">
        <v>0</v>
      </c>
      <c r="L1114" s="78"/>
      <c r="M1114" s="82"/>
      <c r="N1114" s="78"/>
      <c r="O1114" s="78"/>
      <c r="P1114" s="78"/>
      <c r="Q1114" s="78"/>
      <c r="R1114" s="78"/>
      <c r="S1114" s="78"/>
      <c r="T1114" s="83"/>
    </row>
    <row r="1115" spans="1:20" ht="15" customHeight="1" x14ac:dyDescent="0.3">
      <c r="A1115" s="73"/>
      <c r="B1115" s="74"/>
      <c r="C1115" s="75"/>
      <c r="D1115" s="76"/>
      <c r="E1115" s="77"/>
      <c r="F1115" s="78"/>
      <c r="G1115" s="78"/>
      <c r="H1115" s="79"/>
      <c r="I1115" s="80"/>
      <c r="J1115" s="77"/>
      <c r="K1115" s="81" t="b">
        <v>0</v>
      </c>
      <c r="L1115" s="78"/>
      <c r="M1115" s="82"/>
      <c r="N1115" s="78"/>
      <c r="O1115" s="78"/>
      <c r="P1115" s="78"/>
      <c r="Q1115" s="78"/>
      <c r="R1115" s="78"/>
      <c r="S1115" s="78"/>
      <c r="T1115" s="83"/>
    </row>
    <row r="1116" spans="1:20" ht="15" customHeight="1" x14ac:dyDescent="0.3">
      <c r="A1116" s="73"/>
      <c r="B1116" s="74"/>
      <c r="C1116" s="75"/>
      <c r="D1116" s="76"/>
      <c r="E1116" s="77"/>
      <c r="F1116" s="78"/>
      <c r="G1116" s="78"/>
      <c r="H1116" s="79"/>
      <c r="I1116" s="80"/>
      <c r="J1116" s="77"/>
      <c r="K1116" s="81" t="b">
        <v>0</v>
      </c>
      <c r="L1116" s="78"/>
      <c r="M1116" s="82"/>
      <c r="N1116" s="78"/>
      <c r="O1116" s="78"/>
      <c r="P1116" s="78"/>
      <c r="Q1116" s="78"/>
      <c r="R1116" s="78"/>
      <c r="S1116" s="78"/>
      <c r="T1116" s="83"/>
    </row>
    <row r="1117" spans="1:20" ht="15" customHeight="1" x14ac:dyDescent="0.3">
      <c r="A1117" s="73"/>
      <c r="B1117" s="74"/>
      <c r="C1117" s="75"/>
      <c r="D1117" s="76"/>
      <c r="E1117" s="77"/>
      <c r="F1117" s="78"/>
      <c r="G1117" s="78"/>
      <c r="H1117" s="79"/>
      <c r="I1117" s="80"/>
      <c r="J1117" s="77"/>
      <c r="K1117" s="81" t="b">
        <v>0</v>
      </c>
      <c r="L1117" s="78"/>
      <c r="M1117" s="82"/>
      <c r="N1117" s="78"/>
      <c r="O1117" s="78"/>
      <c r="P1117" s="78"/>
      <c r="Q1117" s="78"/>
      <c r="R1117" s="78"/>
      <c r="S1117" s="78"/>
      <c r="T1117" s="83"/>
    </row>
    <row r="1118" spans="1:20" ht="15" customHeight="1" x14ac:dyDescent="0.3">
      <c r="A1118" s="73"/>
      <c r="B1118" s="74"/>
      <c r="C1118" s="75"/>
      <c r="D1118" s="76"/>
      <c r="E1118" s="77"/>
      <c r="F1118" s="78"/>
      <c r="G1118" s="78"/>
      <c r="H1118" s="79"/>
      <c r="I1118" s="80"/>
      <c r="J1118" s="77"/>
      <c r="K1118" s="81" t="b">
        <v>0</v>
      </c>
      <c r="L1118" s="78"/>
      <c r="M1118" s="82"/>
      <c r="N1118" s="78"/>
      <c r="O1118" s="78"/>
      <c r="P1118" s="78"/>
      <c r="Q1118" s="78"/>
      <c r="R1118" s="78"/>
      <c r="S1118" s="78"/>
      <c r="T1118" s="83"/>
    </row>
    <row r="1119" spans="1:20" ht="15" customHeight="1" x14ac:dyDescent="0.3">
      <c r="A1119" s="73"/>
      <c r="B1119" s="74"/>
      <c r="C1119" s="75"/>
      <c r="D1119" s="76"/>
      <c r="E1119" s="77"/>
      <c r="F1119" s="78"/>
      <c r="G1119" s="78"/>
      <c r="H1119" s="79"/>
      <c r="I1119" s="80"/>
      <c r="J1119" s="77"/>
      <c r="K1119" s="81" t="b">
        <v>0</v>
      </c>
      <c r="L1119" s="78"/>
      <c r="M1119" s="82"/>
      <c r="N1119" s="78"/>
      <c r="O1119" s="78"/>
      <c r="P1119" s="78"/>
      <c r="Q1119" s="78"/>
      <c r="R1119" s="78"/>
      <c r="S1119" s="78"/>
      <c r="T1119" s="83"/>
    </row>
    <row r="1120" spans="1:20" ht="15" customHeight="1" x14ac:dyDescent="0.3">
      <c r="A1120" s="73"/>
      <c r="B1120" s="74"/>
      <c r="C1120" s="75"/>
      <c r="D1120" s="76"/>
      <c r="E1120" s="77"/>
      <c r="F1120" s="78"/>
      <c r="G1120" s="78"/>
      <c r="H1120" s="79"/>
      <c r="I1120" s="80"/>
      <c r="J1120" s="77"/>
      <c r="K1120" s="81" t="b">
        <v>0</v>
      </c>
      <c r="L1120" s="78"/>
      <c r="M1120" s="82"/>
      <c r="N1120" s="78"/>
      <c r="O1120" s="78"/>
      <c r="P1120" s="78"/>
      <c r="Q1120" s="78"/>
      <c r="R1120" s="78"/>
      <c r="S1120" s="78"/>
      <c r="T1120" s="83"/>
    </row>
    <row r="1121" spans="1:20" ht="15" customHeight="1" x14ac:dyDescent="0.3">
      <c r="A1121" s="73"/>
      <c r="B1121" s="74"/>
      <c r="C1121" s="75"/>
      <c r="D1121" s="76"/>
      <c r="E1121" s="77"/>
      <c r="F1121" s="78"/>
      <c r="G1121" s="78"/>
      <c r="H1121" s="79"/>
      <c r="I1121" s="80"/>
      <c r="J1121" s="77"/>
      <c r="K1121" s="81" t="b">
        <v>0</v>
      </c>
      <c r="L1121" s="78"/>
      <c r="M1121" s="82"/>
      <c r="N1121" s="78"/>
      <c r="O1121" s="78"/>
      <c r="P1121" s="78"/>
      <c r="Q1121" s="78"/>
      <c r="R1121" s="78"/>
      <c r="S1121" s="78"/>
      <c r="T1121" s="83"/>
    </row>
    <row r="1122" spans="1:20" ht="15" customHeight="1" x14ac:dyDescent="0.3">
      <c r="A1122" s="73"/>
      <c r="B1122" s="74"/>
      <c r="C1122" s="75"/>
      <c r="D1122" s="76"/>
      <c r="E1122" s="77"/>
      <c r="F1122" s="78"/>
      <c r="G1122" s="78"/>
      <c r="H1122" s="79"/>
      <c r="I1122" s="80"/>
      <c r="J1122" s="77"/>
      <c r="K1122" s="81" t="b">
        <v>0</v>
      </c>
      <c r="L1122" s="78"/>
      <c r="M1122" s="82"/>
      <c r="N1122" s="78"/>
      <c r="O1122" s="78"/>
      <c r="P1122" s="78"/>
      <c r="Q1122" s="78"/>
      <c r="R1122" s="78"/>
      <c r="S1122" s="78"/>
      <c r="T1122" s="83"/>
    </row>
    <row r="1123" spans="1:20" ht="15" customHeight="1" x14ac:dyDescent="0.3">
      <c r="A1123" s="73"/>
      <c r="B1123" s="74"/>
      <c r="C1123" s="75"/>
      <c r="D1123" s="76"/>
      <c r="E1123" s="77"/>
      <c r="F1123" s="78"/>
      <c r="G1123" s="78"/>
      <c r="H1123" s="79"/>
      <c r="I1123" s="80"/>
      <c r="J1123" s="77"/>
      <c r="K1123" s="81" t="b">
        <v>0</v>
      </c>
      <c r="L1123" s="78"/>
      <c r="M1123" s="82"/>
      <c r="N1123" s="78"/>
      <c r="O1123" s="78"/>
      <c r="P1123" s="78"/>
      <c r="Q1123" s="78"/>
      <c r="R1123" s="78"/>
      <c r="S1123" s="78"/>
      <c r="T1123" s="83"/>
    </row>
    <row r="1124" spans="1:20" ht="15" customHeight="1" x14ac:dyDescent="0.3">
      <c r="A1124" s="73"/>
      <c r="B1124" s="74"/>
      <c r="C1124" s="75"/>
      <c r="D1124" s="76"/>
      <c r="E1124" s="77"/>
      <c r="F1124" s="78"/>
      <c r="G1124" s="78"/>
      <c r="H1124" s="79"/>
      <c r="I1124" s="80"/>
      <c r="J1124" s="77"/>
      <c r="K1124" s="81" t="b">
        <v>0</v>
      </c>
      <c r="L1124" s="78"/>
      <c r="M1124" s="82"/>
      <c r="N1124" s="78"/>
      <c r="O1124" s="78"/>
      <c r="P1124" s="78"/>
      <c r="Q1124" s="78"/>
      <c r="R1124" s="78"/>
      <c r="S1124" s="78"/>
      <c r="T1124" s="83"/>
    </row>
    <row r="1125" spans="1:20" ht="15" customHeight="1" x14ac:dyDescent="0.3">
      <c r="A1125" s="73"/>
      <c r="B1125" s="74"/>
      <c r="C1125" s="75"/>
      <c r="D1125" s="76"/>
      <c r="E1125" s="77"/>
      <c r="F1125" s="78"/>
      <c r="G1125" s="78"/>
      <c r="H1125" s="79"/>
      <c r="I1125" s="80"/>
      <c r="J1125" s="77"/>
      <c r="K1125" s="81" t="b">
        <v>0</v>
      </c>
      <c r="L1125" s="78"/>
      <c r="M1125" s="82"/>
      <c r="N1125" s="78"/>
      <c r="O1125" s="78"/>
      <c r="P1125" s="78"/>
      <c r="Q1125" s="78"/>
      <c r="R1125" s="78"/>
      <c r="S1125" s="78"/>
      <c r="T1125" s="83"/>
    </row>
    <row r="1126" spans="1:20" ht="15" customHeight="1" x14ac:dyDescent="0.3">
      <c r="A1126" s="73"/>
      <c r="B1126" s="74"/>
      <c r="C1126" s="75"/>
      <c r="D1126" s="76"/>
      <c r="E1126" s="77"/>
      <c r="F1126" s="78"/>
      <c r="G1126" s="78"/>
      <c r="H1126" s="79"/>
      <c r="I1126" s="80"/>
      <c r="J1126" s="77"/>
      <c r="K1126" s="81" t="b">
        <v>0</v>
      </c>
      <c r="L1126" s="78"/>
      <c r="M1126" s="82"/>
      <c r="N1126" s="78"/>
      <c r="O1126" s="78"/>
      <c r="P1126" s="78"/>
      <c r="Q1126" s="78"/>
      <c r="R1126" s="78"/>
      <c r="S1126" s="78"/>
      <c r="T1126" s="83"/>
    </row>
    <row r="1127" spans="1:20" ht="15" customHeight="1" x14ac:dyDescent="0.3">
      <c r="A1127" s="73"/>
      <c r="B1127" s="74"/>
      <c r="C1127" s="75"/>
      <c r="D1127" s="76"/>
      <c r="E1127" s="77"/>
      <c r="F1127" s="78"/>
      <c r="G1127" s="78"/>
      <c r="H1127" s="79"/>
      <c r="I1127" s="80"/>
      <c r="J1127" s="77"/>
      <c r="K1127" s="81" t="b">
        <v>0</v>
      </c>
      <c r="L1127" s="78"/>
      <c r="M1127" s="82"/>
      <c r="N1127" s="78"/>
      <c r="O1127" s="78"/>
      <c r="P1127" s="78"/>
      <c r="Q1127" s="78"/>
      <c r="R1127" s="78"/>
      <c r="S1127" s="78"/>
      <c r="T1127" s="83"/>
    </row>
    <row r="1128" spans="1:20" ht="15" customHeight="1" x14ac:dyDescent="0.3">
      <c r="A1128" s="73"/>
      <c r="B1128" s="74"/>
      <c r="C1128" s="75"/>
      <c r="D1128" s="76"/>
      <c r="E1128" s="77"/>
      <c r="F1128" s="78"/>
      <c r="G1128" s="78"/>
      <c r="H1128" s="79"/>
      <c r="I1128" s="80"/>
      <c r="J1128" s="77"/>
      <c r="K1128" s="81" t="b">
        <v>0</v>
      </c>
      <c r="L1128" s="78"/>
      <c r="M1128" s="82"/>
      <c r="N1128" s="78"/>
      <c r="O1128" s="78"/>
      <c r="P1128" s="78"/>
      <c r="Q1128" s="78"/>
      <c r="R1128" s="78"/>
      <c r="S1128" s="78"/>
      <c r="T1128" s="83"/>
    </row>
    <row r="1129" spans="1:20" ht="15" customHeight="1" x14ac:dyDescent="0.3">
      <c r="A1129" s="73"/>
      <c r="B1129" s="74"/>
      <c r="C1129" s="75"/>
      <c r="D1129" s="76"/>
      <c r="E1129" s="77"/>
      <c r="F1129" s="78"/>
      <c r="G1129" s="78"/>
      <c r="H1129" s="79"/>
      <c r="I1129" s="80"/>
      <c r="J1129" s="77"/>
      <c r="K1129" s="81" t="b">
        <v>0</v>
      </c>
      <c r="L1129" s="78"/>
      <c r="M1129" s="82"/>
      <c r="N1129" s="78"/>
      <c r="O1129" s="78"/>
      <c r="P1129" s="78"/>
      <c r="Q1129" s="78"/>
      <c r="R1129" s="78"/>
      <c r="S1129" s="78"/>
      <c r="T1129" s="83"/>
    </row>
    <row r="1130" spans="1:20" ht="15" customHeight="1" x14ac:dyDescent="0.3">
      <c r="A1130" s="73"/>
      <c r="B1130" s="74"/>
      <c r="C1130" s="75"/>
      <c r="D1130" s="76"/>
      <c r="E1130" s="77"/>
      <c r="F1130" s="78"/>
      <c r="G1130" s="78"/>
      <c r="H1130" s="79"/>
      <c r="I1130" s="80"/>
      <c r="J1130" s="77"/>
      <c r="K1130" s="81" t="b">
        <v>0</v>
      </c>
      <c r="L1130" s="78"/>
      <c r="M1130" s="82"/>
      <c r="N1130" s="78"/>
      <c r="O1130" s="78"/>
      <c r="P1130" s="78"/>
      <c r="Q1130" s="78"/>
      <c r="R1130" s="78"/>
      <c r="S1130" s="78"/>
      <c r="T1130" s="83"/>
    </row>
    <row r="1131" spans="1:20" ht="15" customHeight="1" x14ac:dyDescent="0.3">
      <c r="A1131" s="73"/>
      <c r="B1131" s="74"/>
      <c r="C1131" s="75"/>
      <c r="D1131" s="76"/>
      <c r="E1131" s="77"/>
      <c r="F1131" s="78"/>
      <c r="G1131" s="78"/>
      <c r="H1131" s="79"/>
      <c r="I1131" s="80"/>
      <c r="J1131" s="77"/>
      <c r="K1131" s="81" t="b">
        <v>0</v>
      </c>
      <c r="L1131" s="78"/>
      <c r="M1131" s="82"/>
      <c r="N1131" s="78"/>
      <c r="O1131" s="78"/>
      <c r="P1131" s="78"/>
      <c r="Q1131" s="78"/>
      <c r="R1131" s="78"/>
      <c r="S1131" s="78"/>
      <c r="T1131" s="83"/>
    </row>
    <row r="1132" spans="1:20" ht="15" customHeight="1" x14ac:dyDescent="0.3">
      <c r="A1132" s="73"/>
      <c r="B1132" s="74"/>
      <c r="C1132" s="75"/>
      <c r="D1132" s="76"/>
      <c r="E1132" s="77"/>
      <c r="F1132" s="78"/>
      <c r="G1132" s="78"/>
      <c r="H1132" s="79"/>
      <c r="I1132" s="80"/>
      <c r="J1132" s="77"/>
      <c r="K1132" s="81" t="b">
        <v>0</v>
      </c>
      <c r="L1132" s="78"/>
      <c r="M1132" s="82"/>
      <c r="N1132" s="78"/>
      <c r="O1132" s="78"/>
      <c r="P1132" s="78"/>
      <c r="Q1132" s="78"/>
      <c r="R1132" s="78"/>
      <c r="S1132" s="78"/>
      <c r="T1132" s="83"/>
    </row>
    <row r="1133" spans="1:20" ht="15" customHeight="1" x14ac:dyDescent="0.3">
      <c r="A1133" s="73"/>
      <c r="B1133" s="74"/>
      <c r="C1133" s="75"/>
      <c r="D1133" s="76"/>
      <c r="E1133" s="77"/>
      <c r="F1133" s="78"/>
      <c r="G1133" s="78"/>
      <c r="H1133" s="79"/>
      <c r="I1133" s="80"/>
      <c r="J1133" s="77"/>
      <c r="K1133" s="81" t="b">
        <v>0</v>
      </c>
      <c r="L1133" s="78"/>
      <c r="M1133" s="82"/>
      <c r="N1133" s="78"/>
      <c r="O1133" s="78"/>
      <c r="P1133" s="78"/>
      <c r="Q1133" s="78"/>
      <c r="R1133" s="78"/>
      <c r="S1133" s="78"/>
      <c r="T1133" s="83"/>
    </row>
    <row r="1134" spans="1:20" ht="15" customHeight="1" x14ac:dyDescent="0.3">
      <c r="A1134" s="73"/>
      <c r="B1134" s="74"/>
      <c r="C1134" s="75"/>
      <c r="D1134" s="76"/>
      <c r="E1134" s="77"/>
      <c r="F1134" s="78"/>
      <c r="G1134" s="78"/>
      <c r="H1134" s="79"/>
      <c r="I1134" s="80"/>
      <c r="J1134" s="77"/>
      <c r="K1134" s="81" t="b">
        <v>0</v>
      </c>
      <c r="L1134" s="78"/>
      <c r="M1134" s="82"/>
      <c r="N1134" s="78"/>
      <c r="O1134" s="78"/>
      <c r="P1134" s="78"/>
      <c r="Q1134" s="78"/>
      <c r="R1134" s="78"/>
      <c r="S1134" s="78"/>
      <c r="T1134" s="83"/>
    </row>
    <row r="1135" spans="1:20" ht="15" customHeight="1" x14ac:dyDescent="0.3">
      <c r="A1135" s="73"/>
      <c r="B1135" s="74"/>
      <c r="C1135" s="75"/>
      <c r="D1135" s="76"/>
      <c r="E1135" s="77"/>
      <c r="F1135" s="78"/>
      <c r="G1135" s="78"/>
      <c r="H1135" s="79"/>
      <c r="I1135" s="80"/>
      <c r="J1135" s="77"/>
      <c r="K1135" s="81" t="b">
        <v>0</v>
      </c>
      <c r="L1135" s="78"/>
      <c r="M1135" s="82"/>
      <c r="N1135" s="78"/>
      <c r="O1135" s="78"/>
      <c r="P1135" s="78"/>
      <c r="Q1135" s="78"/>
      <c r="R1135" s="78"/>
      <c r="S1135" s="78"/>
      <c r="T1135" s="83"/>
    </row>
    <row r="1136" spans="1:20" ht="15" customHeight="1" x14ac:dyDescent="0.3">
      <c r="A1136" s="73"/>
      <c r="B1136" s="74"/>
      <c r="C1136" s="75"/>
      <c r="D1136" s="76"/>
      <c r="E1136" s="77"/>
      <c r="F1136" s="78"/>
      <c r="G1136" s="78"/>
      <c r="H1136" s="79"/>
      <c r="I1136" s="80"/>
      <c r="J1136" s="77"/>
      <c r="K1136" s="81" t="b">
        <v>0</v>
      </c>
      <c r="L1136" s="78"/>
      <c r="M1136" s="82"/>
      <c r="N1136" s="78"/>
      <c r="O1136" s="78"/>
      <c r="P1136" s="78"/>
      <c r="Q1136" s="78"/>
      <c r="R1136" s="78"/>
      <c r="S1136" s="78"/>
      <c r="T1136" s="83"/>
    </row>
    <row r="1137" spans="1:20" ht="15" customHeight="1" x14ac:dyDescent="0.3">
      <c r="A1137" s="73"/>
      <c r="B1137" s="74"/>
      <c r="C1137" s="75"/>
      <c r="D1137" s="76"/>
      <c r="E1137" s="77"/>
      <c r="F1137" s="78"/>
      <c r="G1137" s="78"/>
      <c r="H1137" s="79"/>
      <c r="I1137" s="80"/>
      <c r="J1137" s="77"/>
      <c r="K1137" s="81" t="b">
        <v>0</v>
      </c>
      <c r="L1137" s="78"/>
      <c r="M1137" s="82"/>
      <c r="N1137" s="78"/>
      <c r="O1137" s="78"/>
      <c r="P1137" s="78"/>
      <c r="Q1137" s="78"/>
      <c r="R1137" s="78"/>
      <c r="S1137" s="78"/>
      <c r="T1137" s="83"/>
    </row>
    <row r="1138" spans="1:20" ht="15" customHeight="1" x14ac:dyDescent="0.3">
      <c r="A1138" s="73"/>
      <c r="B1138" s="74"/>
      <c r="C1138" s="75"/>
      <c r="D1138" s="76"/>
      <c r="E1138" s="77"/>
      <c r="F1138" s="78"/>
      <c r="G1138" s="78"/>
      <c r="H1138" s="79"/>
      <c r="I1138" s="80"/>
      <c r="J1138" s="77"/>
      <c r="K1138" s="81" t="b">
        <v>0</v>
      </c>
      <c r="L1138" s="78"/>
      <c r="M1138" s="82"/>
      <c r="N1138" s="78"/>
      <c r="O1138" s="78"/>
      <c r="P1138" s="78"/>
      <c r="Q1138" s="78"/>
      <c r="R1138" s="78"/>
      <c r="S1138" s="78"/>
      <c r="T1138" s="83"/>
    </row>
    <row r="1139" spans="1:20" ht="15" customHeight="1" x14ac:dyDescent="0.3">
      <c r="A1139" s="73"/>
      <c r="B1139" s="74"/>
      <c r="C1139" s="75"/>
      <c r="D1139" s="76"/>
      <c r="E1139" s="77"/>
      <c r="F1139" s="78"/>
      <c r="G1139" s="78"/>
      <c r="H1139" s="79"/>
      <c r="I1139" s="80"/>
      <c r="J1139" s="77"/>
      <c r="K1139" s="81" t="b">
        <v>0</v>
      </c>
      <c r="L1139" s="78"/>
      <c r="M1139" s="82"/>
      <c r="N1139" s="78"/>
      <c r="O1139" s="78"/>
      <c r="P1139" s="78"/>
      <c r="Q1139" s="78"/>
      <c r="R1139" s="78"/>
      <c r="S1139" s="78"/>
      <c r="T1139" s="83"/>
    </row>
    <row r="1140" spans="1:20" ht="15" customHeight="1" x14ac:dyDescent="0.3">
      <c r="A1140" s="73"/>
      <c r="B1140" s="74"/>
      <c r="C1140" s="75"/>
      <c r="D1140" s="76"/>
      <c r="E1140" s="77"/>
      <c r="F1140" s="78"/>
      <c r="G1140" s="78"/>
      <c r="H1140" s="79"/>
      <c r="I1140" s="80"/>
      <c r="J1140" s="77"/>
      <c r="K1140" s="81" t="b">
        <v>0</v>
      </c>
      <c r="L1140" s="78"/>
      <c r="M1140" s="82"/>
      <c r="N1140" s="78"/>
      <c r="O1140" s="78"/>
      <c r="P1140" s="78"/>
      <c r="Q1140" s="78"/>
      <c r="R1140" s="78"/>
      <c r="S1140" s="78"/>
      <c r="T1140" s="83"/>
    </row>
    <row r="1141" spans="1:20" ht="15" customHeight="1" x14ac:dyDescent="0.3">
      <c r="A1141" s="73"/>
      <c r="B1141" s="74"/>
      <c r="C1141" s="75"/>
      <c r="D1141" s="76"/>
      <c r="E1141" s="77"/>
      <c r="F1141" s="78"/>
      <c r="G1141" s="78"/>
      <c r="H1141" s="79"/>
      <c r="I1141" s="80"/>
      <c r="J1141" s="77"/>
      <c r="K1141" s="81" t="b">
        <v>0</v>
      </c>
      <c r="L1141" s="78"/>
      <c r="M1141" s="82"/>
      <c r="N1141" s="78"/>
      <c r="O1141" s="78"/>
      <c r="P1141" s="78"/>
      <c r="Q1141" s="78"/>
      <c r="R1141" s="78"/>
      <c r="S1141" s="78"/>
      <c r="T1141" s="83"/>
    </row>
    <row r="1142" spans="1:20" ht="15" customHeight="1" x14ac:dyDescent="0.3">
      <c r="A1142" s="73"/>
      <c r="B1142" s="74"/>
      <c r="C1142" s="75"/>
      <c r="D1142" s="76"/>
      <c r="E1142" s="77"/>
      <c r="F1142" s="78"/>
      <c r="G1142" s="78"/>
      <c r="H1142" s="79"/>
      <c r="I1142" s="80"/>
      <c r="J1142" s="77"/>
      <c r="K1142" s="81" t="b">
        <v>0</v>
      </c>
      <c r="L1142" s="78"/>
      <c r="M1142" s="82"/>
      <c r="N1142" s="78"/>
      <c r="O1142" s="78"/>
      <c r="P1142" s="78"/>
      <c r="Q1142" s="78"/>
      <c r="R1142" s="78"/>
      <c r="S1142" s="78"/>
      <c r="T1142" s="83"/>
    </row>
    <row r="1143" spans="1:20" ht="15" customHeight="1" x14ac:dyDescent="0.3">
      <c r="A1143" s="73"/>
      <c r="B1143" s="74"/>
      <c r="C1143" s="75"/>
      <c r="D1143" s="76"/>
      <c r="E1143" s="77"/>
      <c r="F1143" s="78"/>
      <c r="G1143" s="78"/>
      <c r="H1143" s="79"/>
      <c r="I1143" s="80"/>
      <c r="J1143" s="77"/>
      <c r="K1143" s="81" t="b">
        <v>0</v>
      </c>
      <c r="L1143" s="78"/>
      <c r="M1143" s="82"/>
      <c r="N1143" s="78"/>
      <c r="O1143" s="78"/>
      <c r="P1143" s="78"/>
      <c r="Q1143" s="78"/>
      <c r="R1143" s="78"/>
      <c r="S1143" s="78"/>
      <c r="T1143" s="83"/>
    </row>
    <row r="1144" spans="1:20" ht="15" customHeight="1" x14ac:dyDescent="0.3">
      <c r="A1144" s="73"/>
      <c r="B1144" s="74"/>
      <c r="C1144" s="75"/>
      <c r="D1144" s="76"/>
      <c r="E1144" s="77"/>
      <c r="F1144" s="78"/>
      <c r="G1144" s="78"/>
      <c r="H1144" s="79"/>
      <c r="I1144" s="80"/>
      <c r="J1144" s="77"/>
      <c r="K1144" s="81" t="b">
        <v>0</v>
      </c>
      <c r="L1144" s="78"/>
      <c r="M1144" s="82"/>
      <c r="N1144" s="78"/>
      <c r="O1144" s="78"/>
      <c r="P1144" s="78"/>
      <c r="Q1144" s="78"/>
      <c r="R1144" s="78"/>
      <c r="S1144" s="78"/>
      <c r="T1144" s="83"/>
    </row>
    <row r="1145" spans="1:20" ht="15" customHeight="1" x14ac:dyDescent="0.3">
      <c r="A1145" s="73"/>
      <c r="B1145" s="74"/>
      <c r="C1145" s="75"/>
      <c r="D1145" s="76"/>
      <c r="E1145" s="77"/>
      <c r="F1145" s="78"/>
      <c r="G1145" s="78"/>
      <c r="H1145" s="79"/>
      <c r="I1145" s="80"/>
      <c r="J1145" s="77"/>
      <c r="K1145" s="81" t="b">
        <v>0</v>
      </c>
      <c r="L1145" s="78"/>
      <c r="M1145" s="82"/>
      <c r="N1145" s="78"/>
      <c r="O1145" s="78"/>
      <c r="P1145" s="78"/>
      <c r="Q1145" s="78"/>
      <c r="R1145" s="78"/>
      <c r="S1145" s="78"/>
      <c r="T1145" s="83"/>
    </row>
    <row r="1146" spans="1:20" ht="15" customHeight="1" x14ac:dyDescent="0.3">
      <c r="A1146" s="73"/>
      <c r="B1146" s="74"/>
      <c r="C1146" s="75"/>
      <c r="D1146" s="76"/>
      <c r="E1146" s="77"/>
      <c r="F1146" s="78"/>
      <c r="G1146" s="78"/>
      <c r="H1146" s="79"/>
      <c r="I1146" s="80"/>
      <c r="J1146" s="77"/>
      <c r="K1146" s="81" t="b">
        <v>0</v>
      </c>
      <c r="L1146" s="78"/>
      <c r="M1146" s="82"/>
      <c r="N1146" s="78"/>
      <c r="O1146" s="78"/>
      <c r="P1146" s="78"/>
      <c r="Q1146" s="78"/>
      <c r="R1146" s="78"/>
      <c r="S1146" s="78"/>
      <c r="T1146" s="83"/>
    </row>
    <row r="1147" spans="1:20" ht="15" customHeight="1" x14ac:dyDescent="0.3">
      <c r="A1147" s="73"/>
      <c r="B1147" s="74"/>
      <c r="C1147" s="75"/>
      <c r="D1147" s="76"/>
      <c r="E1147" s="77"/>
      <c r="F1147" s="78"/>
      <c r="G1147" s="78"/>
      <c r="H1147" s="79"/>
      <c r="I1147" s="80"/>
      <c r="J1147" s="77"/>
      <c r="K1147" s="81" t="b">
        <v>0</v>
      </c>
      <c r="L1147" s="78"/>
      <c r="M1147" s="82"/>
      <c r="N1147" s="78"/>
      <c r="O1147" s="78"/>
      <c r="P1147" s="78"/>
      <c r="Q1147" s="78"/>
      <c r="R1147" s="78"/>
      <c r="S1147" s="78"/>
      <c r="T1147" s="83"/>
    </row>
    <row r="1148" spans="1:20" ht="15" customHeight="1" x14ac:dyDescent="0.3">
      <c r="A1148" s="73"/>
      <c r="B1148" s="74"/>
      <c r="C1148" s="75"/>
      <c r="D1148" s="76"/>
      <c r="E1148" s="77"/>
      <c r="F1148" s="78"/>
      <c r="G1148" s="78"/>
      <c r="H1148" s="79"/>
      <c r="I1148" s="80"/>
      <c r="J1148" s="77"/>
      <c r="K1148" s="81" t="b">
        <v>0</v>
      </c>
      <c r="L1148" s="78"/>
      <c r="M1148" s="82"/>
      <c r="N1148" s="78"/>
      <c r="O1148" s="78"/>
      <c r="P1148" s="78"/>
      <c r="Q1148" s="78"/>
      <c r="R1148" s="78"/>
      <c r="S1148" s="78"/>
      <c r="T1148" s="83"/>
    </row>
    <row r="1149" spans="1:20" ht="15" customHeight="1" x14ac:dyDescent="0.3">
      <c r="A1149" s="73"/>
      <c r="B1149" s="74"/>
      <c r="C1149" s="75"/>
      <c r="D1149" s="76"/>
      <c r="E1149" s="77"/>
      <c r="F1149" s="78"/>
      <c r="G1149" s="78"/>
      <c r="H1149" s="79"/>
      <c r="I1149" s="80"/>
      <c r="J1149" s="77"/>
      <c r="K1149" s="81" t="b">
        <v>0</v>
      </c>
      <c r="L1149" s="78"/>
      <c r="M1149" s="82"/>
      <c r="N1149" s="78"/>
      <c r="O1149" s="78"/>
      <c r="P1149" s="78"/>
      <c r="Q1149" s="78"/>
      <c r="R1149" s="78"/>
      <c r="S1149" s="78"/>
      <c r="T1149" s="83"/>
    </row>
    <row r="1150" spans="1:20" ht="15" customHeight="1" x14ac:dyDescent="0.3">
      <c r="A1150" s="73"/>
      <c r="B1150" s="74"/>
      <c r="C1150" s="75"/>
      <c r="D1150" s="76"/>
      <c r="E1150" s="77"/>
      <c r="F1150" s="78"/>
      <c r="G1150" s="78"/>
      <c r="H1150" s="79"/>
      <c r="I1150" s="80"/>
      <c r="J1150" s="77"/>
      <c r="K1150" s="81" t="b">
        <v>0</v>
      </c>
      <c r="L1150" s="78"/>
      <c r="M1150" s="82"/>
      <c r="N1150" s="78"/>
      <c r="O1150" s="78"/>
      <c r="P1150" s="78"/>
      <c r="Q1150" s="78"/>
      <c r="R1150" s="78"/>
      <c r="S1150" s="78"/>
      <c r="T1150" s="83"/>
    </row>
    <row r="1151" spans="1:20" ht="15" customHeight="1" x14ac:dyDescent="0.3">
      <c r="A1151" s="73"/>
      <c r="B1151" s="74"/>
      <c r="C1151" s="75"/>
      <c r="D1151" s="76"/>
      <c r="E1151" s="77"/>
      <c r="F1151" s="78"/>
      <c r="G1151" s="78"/>
      <c r="H1151" s="79"/>
      <c r="I1151" s="80"/>
      <c r="J1151" s="77"/>
      <c r="K1151" s="81" t="b">
        <v>0</v>
      </c>
      <c r="L1151" s="78"/>
      <c r="M1151" s="82"/>
      <c r="N1151" s="78"/>
      <c r="O1151" s="78"/>
      <c r="P1151" s="78"/>
      <c r="Q1151" s="78"/>
      <c r="R1151" s="78"/>
      <c r="S1151" s="78"/>
      <c r="T1151" s="83"/>
    </row>
    <row r="1152" spans="1:20" ht="15" customHeight="1" x14ac:dyDescent="0.3">
      <c r="A1152" s="73"/>
      <c r="B1152" s="74"/>
      <c r="C1152" s="75"/>
      <c r="D1152" s="76"/>
      <c r="E1152" s="77"/>
      <c r="F1152" s="78"/>
      <c r="G1152" s="78"/>
      <c r="H1152" s="79"/>
      <c r="I1152" s="80"/>
      <c r="J1152" s="77"/>
      <c r="K1152" s="81" t="b">
        <v>0</v>
      </c>
      <c r="L1152" s="78"/>
      <c r="M1152" s="82"/>
      <c r="N1152" s="78"/>
      <c r="O1152" s="78"/>
      <c r="P1152" s="78"/>
      <c r="Q1152" s="78"/>
      <c r="R1152" s="78"/>
      <c r="S1152" s="78"/>
      <c r="T1152" s="83"/>
    </row>
    <row r="1153" spans="1:20" ht="15" customHeight="1" x14ac:dyDescent="0.3">
      <c r="A1153" s="73"/>
      <c r="B1153" s="74"/>
      <c r="C1153" s="75"/>
      <c r="D1153" s="76"/>
      <c r="E1153" s="77"/>
      <c r="F1153" s="78"/>
      <c r="G1153" s="78"/>
      <c r="H1153" s="79"/>
      <c r="I1153" s="80"/>
      <c r="J1153" s="77"/>
      <c r="K1153" s="81" t="b">
        <v>0</v>
      </c>
      <c r="L1153" s="78"/>
      <c r="M1153" s="82"/>
      <c r="N1153" s="78"/>
      <c r="O1153" s="78"/>
      <c r="P1153" s="78"/>
      <c r="Q1153" s="78"/>
      <c r="R1153" s="78"/>
      <c r="S1153" s="78"/>
      <c r="T1153" s="83"/>
    </row>
    <row r="1154" spans="1:20" ht="15" customHeight="1" x14ac:dyDescent="0.3">
      <c r="A1154" s="73"/>
      <c r="B1154" s="74"/>
      <c r="C1154" s="75"/>
      <c r="D1154" s="76"/>
      <c r="E1154" s="77"/>
      <c r="F1154" s="78"/>
      <c r="G1154" s="78"/>
      <c r="H1154" s="79"/>
      <c r="I1154" s="80"/>
      <c r="J1154" s="77"/>
      <c r="K1154" s="81" t="b">
        <v>0</v>
      </c>
      <c r="L1154" s="78"/>
      <c r="M1154" s="82"/>
      <c r="N1154" s="78"/>
      <c r="O1154" s="78"/>
      <c r="P1154" s="78"/>
      <c r="Q1154" s="78"/>
      <c r="R1154" s="78"/>
      <c r="S1154" s="78"/>
      <c r="T1154" s="83"/>
    </row>
    <row r="1155" spans="1:20" ht="15" customHeight="1" x14ac:dyDescent="0.3">
      <c r="A1155" s="73"/>
      <c r="B1155" s="74"/>
      <c r="C1155" s="75"/>
      <c r="D1155" s="76"/>
      <c r="E1155" s="77"/>
      <c r="F1155" s="78"/>
      <c r="G1155" s="78"/>
      <c r="H1155" s="79"/>
      <c r="I1155" s="80"/>
      <c r="J1155" s="77"/>
      <c r="K1155" s="81" t="b">
        <v>0</v>
      </c>
      <c r="L1155" s="78"/>
      <c r="M1155" s="82"/>
      <c r="N1155" s="78"/>
      <c r="O1155" s="78"/>
      <c r="P1155" s="78"/>
      <c r="Q1155" s="78"/>
      <c r="R1155" s="78"/>
      <c r="S1155" s="78"/>
      <c r="T1155" s="83"/>
    </row>
    <row r="1156" spans="1:20" ht="15" customHeight="1" x14ac:dyDescent="0.3">
      <c r="A1156" s="73"/>
      <c r="B1156" s="74"/>
      <c r="C1156" s="75"/>
      <c r="D1156" s="76"/>
      <c r="E1156" s="77"/>
      <c r="F1156" s="78"/>
      <c r="G1156" s="78"/>
      <c r="H1156" s="79"/>
      <c r="I1156" s="80"/>
      <c r="J1156" s="77"/>
      <c r="K1156" s="81" t="b">
        <v>0</v>
      </c>
      <c r="L1156" s="78"/>
      <c r="M1156" s="82"/>
      <c r="N1156" s="78"/>
      <c r="O1156" s="78"/>
      <c r="P1156" s="78"/>
      <c r="Q1156" s="78"/>
      <c r="R1156" s="78"/>
      <c r="S1156" s="78"/>
      <c r="T1156" s="83"/>
    </row>
    <row r="1157" spans="1:20" ht="15" customHeight="1" x14ac:dyDescent="0.3">
      <c r="A1157" s="73"/>
      <c r="B1157" s="74"/>
      <c r="C1157" s="75"/>
      <c r="D1157" s="76"/>
      <c r="E1157" s="77"/>
      <c r="F1157" s="78"/>
      <c r="G1157" s="78"/>
      <c r="H1157" s="79"/>
      <c r="I1157" s="80"/>
      <c r="J1157" s="77"/>
      <c r="K1157" s="81" t="b">
        <v>0</v>
      </c>
      <c r="L1157" s="78"/>
      <c r="M1157" s="82"/>
      <c r="N1157" s="78"/>
      <c r="O1157" s="78"/>
      <c r="P1157" s="78"/>
      <c r="Q1157" s="78"/>
      <c r="R1157" s="78"/>
      <c r="S1157" s="78"/>
      <c r="T1157" s="83"/>
    </row>
    <row r="1158" spans="1:20" ht="15" customHeight="1" x14ac:dyDescent="0.3">
      <c r="A1158" s="73"/>
      <c r="B1158" s="74"/>
      <c r="C1158" s="75"/>
      <c r="D1158" s="76"/>
      <c r="E1158" s="77"/>
      <c r="F1158" s="78"/>
      <c r="G1158" s="78"/>
      <c r="H1158" s="79"/>
      <c r="I1158" s="80"/>
      <c r="J1158" s="77"/>
      <c r="K1158" s="81" t="b">
        <v>0</v>
      </c>
      <c r="L1158" s="78"/>
      <c r="M1158" s="82"/>
      <c r="N1158" s="78"/>
      <c r="O1158" s="78"/>
      <c r="P1158" s="78"/>
      <c r="Q1158" s="78"/>
      <c r="R1158" s="78"/>
      <c r="S1158" s="78"/>
      <c r="T1158" s="83"/>
    </row>
    <row r="1159" spans="1:20" ht="15" customHeight="1" x14ac:dyDescent="0.3">
      <c r="A1159" s="73"/>
      <c r="B1159" s="74"/>
      <c r="C1159" s="75"/>
      <c r="D1159" s="76"/>
      <c r="E1159" s="77"/>
      <c r="F1159" s="78"/>
      <c r="G1159" s="78"/>
      <c r="H1159" s="79"/>
      <c r="I1159" s="80"/>
      <c r="J1159" s="77"/>
      <c r="K1159" s="81" t="b">
        <v>0</v>
      </c>
      <c r="L1159" s="78"/>
      <c r="M1159" s="82"/>
      <c r="N1159" s="78"/>
      <c r="O1159" s="78"/>
      <c r="P1159" s="78"/>
      <c r="Q1159" s="78"/>
      <c r="R1159" s="78"/>
      <c r="S1159" s="78"/>
      <c r="T1159" s="83"/>
    </row>
    <row r="1160" spans="1:20" ht="15" customHeight="1" x14ac:dyDescent="0.3">
      <c r="A1160" s="73"/>
      <c r="B1160" s="74"/>
      <c r="C1160" s="75"/>
      <c r="D1160" s="76"/>
      <c r="E1160" s="77"/>
      <c r="F1160" s="78"/>
      <c r="G1160" s="78"/>
      <c r="H1160" s="79"/>
      <c r="I1160" s="80"/>
      <c r="J1160" s="77"/>
      <c r="K1160" s="81" t="b">
        <v>0</v>
      </c>
      <c r="L1160" s="78"/>
      <c r="M1160" s="82"/>
      <c r="N1160" s="78"/>
      <c r="O1160" s="78"/>
      <c r="P1160" s="78"/>
      <c r="Q1160" s="78"/>
      <c r="R1160" s="78"/>
      <c r="S1160" s="78"/>
      <c r="T1160" s="83"/>
    </row>
    <row r="1161" spans="1:20" ht="15" customHeight="1" x14ac:dyDescent="0.3">
      <c r="A1161" s="73"/>
      <c r="B1161" s="74"/>
      <c r="C1161" s="75"/>
      <c r="D1161" s="76"/>
      <c r="E1161" s="77"/>
      <c r="F1161" s="78"/>
      <c r="G1161" s="78"/>
      <c r="H1161" s="79"/>
      <c r="I1161" s="80"/>
      <c r="J1161" s="77"/>
      <c r="K1161" s="81" t="b">
        <v>0</v>
      </c>
      <c r="L1161" s="78"/>
      <c r="M1161" s="82"/>
      <c r="N1161" s="78"/>
      <c r="O1161" s="78"/>
      <c r="P1161" s="78"/>
      <c r="Q1161" s="78"/>
      <c r="R1161" s="78"/>
      <c r="S1161" s="78"/>
      <c r="T1161" s="83"/>
    </row>
    <row r="1162" spans="1:20" ht="15" customHeight="1" x14ac:dyDescent="0.3">
      <c r="A1162" s="73"/>
      <c r="B1162" s="74"/>
      <c r="C1162" s="75"/>
      <c r="D1162" s="76"/>
      <c r="E1162" s="77"/>
      <c r="F1162" s="78"/>
      <c r="G1162" s="78"/>
      <c r="H1162" s="79"/>
      <c r="I1162" s="80"/>
      <c r="J1162" s="77"/>
      <c r="K1162" s="81" t="b">
        <v>0</v>
      </c>
      <c r="L1162" s="78"/>
      <c r="M1162" s="82"/>
      <c r="N1162" s="78"/>
      <c r="O1162" s="78"/>
      <c r="P1162" s="78"/>
      <c r="Q1162" s="78"/>
      <c r="R1162" s="78"/>
      <c r="S1162" s="78"/>
      <c r="T1162" s="83"/>
    </row>
    <row r="1163" spans="1:20" ht="15" customHeight="1" x14ac:dyDescent="0.3">
      <c r="A1163" s="73"/>
      <c r="B1163" s="74"/>
      <c r="C1163" s="75"/>
      <c r="D1163" s="76"/>
      <c r="E1163" s="77"/>
      <c r="F1163" s="78"/>
      <c r="G1163" s="78"/>
      <c r="H1163" s="79"/>
      <c r="I1163" s="80"/>
      <c r="J1163" s="77"/>
      <c r="K1163" s="81" t="b">
        <v>0</v>
      </c>
      <c r="L1163" s="78"/>
      <c r="M1163" s="82"/>
      <c r="N1163" s="78"/>
      <c r="O1163" s="78"/>
      <c r="P1163" s="78"/>
      <c r="Q1163" s="78"/>
      <c r="R1163" s="78"/>
      <c r="S1163" s="78"/>
      <c r="T1163" s="83"/>
    </row>
    <row r="1164" spans="1:20" ht="15" customHeight="1" x14ac:dyDescent="0.3">
      <c r="A1164" s="73"/>
      <c r="B1164" s="74"/>
      <c r="C1164" s="75"/>
      <c r="D1164" s="76"/>
      <c r="E1164" s="77"/>
      <c r="F1164" s="78"/>
      <c r="G1164" s="78"/>
      <c r="H1164" s="79"/>
      <c r="I1164" s="80"/>
      <c r="J1164" s="77"/>
      <c r="K1164" s="81" t="b">
        <v>0</v>
      </c>
      <c r="L1164" s="78"/>
      <c r="M1164" s="82"/>
      <c r="N1164" s="78"/>
      <c r="O1164" s="78"/>
      <c r="P1164" s="78"/>
      <c r="Q1164" s="78"/>
      <c r="R1164" s="78"/>
      <c r="S1164" s="78"/>
      <c r="T1164" s="83"/>
    </row>
    <row r="1165" spans="1:20" ht="15" customHeight="1" x14ac:dyDescent="0.3">
      <c r="A1165" s="73"/>
      <c r="B1165" s="74"/>
      <c r="C1165" s="75"/>
      <c r="D1165" s="76"/>
      <c r="E1165" s="77"/>
      <c r="F1165" s="78"/>
      <c r="G1165" s="78"/>
      <c r="H1165" s="79"/>
      <c r="I1165" s="80"/>
      <c r="J1165" s="77"/>
      <c r="K1165" s="81" t="b">
        <v>0</v>
      </c>
      <c r="L1165" s="78"/>
      <c r="M1165" s="82"/>
      <c r="N1165" s="78"/>
      <c r="O1165" s="78"/>
      <c r="P1165" s="78"/>
      <c r="Q1165" s="78"/>
      <c r="R1165" s="78"/>
      <c r="S1165" s="78"/>
      <c r="T1165" s="83"/>
    </row>
    <row r="1166" spans="1:20" ht="15" customHeight="1" x14ac:dyDescent="0.3">
      <c r="A1166" s="73"/>
      <c r="B1166" s="74"/>
      <c r="C1166" s="75"/>
      <c r="D1166" s="76"/>
      <c r="E1166" s="77"/>
      <c r="F1166" s="78"/>
      <c r="G1166" s="78"/>
      <c r="H1166" s="79"/>
      <c r="I1166" s="80"/>
      <c r="J1166" s="77"/>
      <c r="K1166" s="81" t="b">
        <v>0</v>
      </c>
      <c r="L1166" s="78"/>
      <c r="M1166" s="82"/>
      <c r="N1166" s="78"/>
      <c r="O1166" s="78"/>
      <c r="P1166" s="78"/>
      <c r="Q1166" s="78"/>
      <c r="R1166" s="78"/>
      <c r="S1166" s="78"/>
      <c r="T1166" s="83"/>
    </row>
    <row r="1167" spans="1:20" ht="15" customHeight="1" x14ac:dyDescent="0.3">
      <c r="A1167" s="73"/>
      <c r="B1167" s="74"/>
      <c r="C1167" s="75"/>
      <c r="D1167" s="76"/>
      <c r="E1167" s="77"/>
      <c r="F1167" s="78"/>
      <c r="G1167" s="78"/>
      <c r="H1167" s="79"/>
      <c r="I1167" s="80"/>
      <c r="J1167" s="77"/>
      <c r="K1167" s="81" t="b">
        <v>0</v>
      </c>
      <c r="L1167" s="78"/>
      <c r="M1167" s="82"/>
      <c r="N1167" s="78"/>
      <c r="O1167" s="78"/>
      <c r="P1167" s="78"/>
      <c r="Q1167" s="78"/>
      <c r="R1167" s="78"/>
      <c r="S1167" s="78"/>
      <c r="T1167" s="83"/>
    </row>
    <row r="1168" spans="1:20" ht="15" customHeight="1" x14ac:dyDescent="0.3">
      <c r="A1168" s="73"/>
      <c r="B1168" s="74"/>
      <c r="C1168" s="75"/>
      <c r="D1168" s="76"/>
      <c r="E1168" s="77"/>
      <c r="F1168" s="78"/>
      <c r="G1168" s="78"/>
      <c r="H1168" s="79"/>
      <c r="I1168" s="80"/>
      <c r="J1168" s="77"/>
      <c r="K1168" s="81" t="b">
        <v>0</v>
      </c>
      <c r="L1168" s="78"/>
      <c r="M1168" s="82"/>
      <c r="N1168" s="78"/>
      <c r="O1168" s="78"/>
      <c r="P1168" s="78"/>
      <c r="Q1168" s="78"/>
      <c r="R1168" s="78"/>
      <c r="S1168" s="78"/>
      <c r="T1168" s="83"/>
    </row>
    <row r="1169" spans="1:20" ht="15" customHeight="1" x14ac:dyDescent="0.3">
      <c r="A1169" s="73"/>
      <c r="B1169" s="74"/>
      <c r="C1169" s="75"/>
      <c r="D1169" s="76"/>
      <c r="E1169" s="77"/>
      <c r="F1169" s="78"/>
      <c r="G1169" s="78"/>
      <c r="H1169" s="79"/>
      <c r="I1169" s="80"/>
      <c r="J1169" s="77"/>
      <c r="K1169" s="81" t="b">
        <v>0</v>
      </c>
      <c r="L1169" s="78"/>
      <c r="M1169" s="82"/>
      <c r="N1169" s="78"/>
      <c r="O1169" s="78"/>
      <c r="P1169" s="78"/>
      <c r="Q1169" s="78"/>
      <c r="R1169" s="78"/>
      <c r="S1169" s="78"/>
      <c r="T1169" s="83"/>
    </row>
    <row r="1170" spans="1:20" ht="15" customHeight="1" x14ac:dyDescent="0.3">
      <c r="A1170" s="73"/>
      <c r="B1170" s="74"/>
      <c r="C1170" s="75"/>
      <c r="D1170" s="76"/>
      <c r="E1170" s="77"/>
      <c r="F1170" s="78"/>
      <c r="G1170" s="78"/>
      <c r="H1170" s="79"/>
      <c r="I1170" s="80"/>
      <c r="J1170" s="77"/>
      <c r="K1170" s="81" t="b">
        <v>0</v>
      </c>
      <c r="L1170" s="78"/>
      <c r="M1170" s="82"/>
      <c r="N1170" s="78"/>
      <c r="O1170" s="78"/>
      <c r="P1170" s="78"/>
      <c r="Q1170" s="78"/>
      <c r="R1170" s="78"/>
      <c r="S1170" s="78"/>
      <c r="T1170" s="83"/>
    </row>
    <row r="1171" spans="1:20" ht="15" customHeight="1" x14ac:dyDescent="0.3">
      <c r="A1171" s="73"/>
      <c r="B1171" s="74"/>
      <c r="C1171" s="75"/>
      <c r="D1171" s="76"/>
      <c r="E1171" s="77"/>
      <c r="F1171" s="78"/>
      <c r="G1171" s="78"/>
      <c r="H1171" s="79"/>
      <c r="I1171" s="80"/>
      <c r="J1171" s="77"/>
      <c r="K1171" s="81" t="b">
        <v>0</v>
      </c>
      <c r="L1171" s="78"/>
      <c r="M1171" s="82"/>
      <c r="N1171" s="78"/>
      <c r="O1171" s="78"/>
      <c r="P1171" s="78"/>
      <c r="Q1171" s="78"/>
      <c r="R1171" s="78"/>
      <c r="S1171" s="78"/>
      <c r="T1171" s="83"/>
    </row>
    <row r="1172" spans="1:20" ht="15" customHeight="1" x14ac:dyDescent="0.3">
      <c r="A1172" s="73"/>
      <c r="B1172" s="74"/>
      <c r="C1172" s="75"/>
      <c r="D1172" s="76"/>
      <c r="E1172" s="77"/>
      <c r="F1172" s="78"/>
      <c r="G1172" s="78"/>
      <c r="H1172" s="79"/>
      <c r="I1172" s="80"/>
      <c r="J1172" s="77"/>
      <c r="K1172" s="81" t="b">
        <v>0</v>
      </c>
      <c r="L1172" s="78"/>
      <c r="M1172" s="82"/>
      <c r="N1172" s="78"/>
      <c r="O1172" s="78"/>
      <c r="P1172" s="78"/>
      <c r="Q1172" s="78"/>
      <c r="R1172" s="78"/>
      <c r="S1172" s="78"/>
      <c r="T1172" s="83"/>
    </row>
    <row r="1173" spans="1:20" ht="15" customHeight="1" x14ac:dyDescent="0.3">
      <c r="A1173" s="73"/>
      <c r="B1173" s="74"/>
      <c r="C1173" s="75"/>
      <c r="D1173" s="76"/>
      <c r="E1173" s="77"/>
      <c r="F1173" s="78"/>
      <c r="G1173" s="78"/>
      <c r="H1173" s="79"/>
      <c r="I1173" s="80"/>
      <c r="J1173" s="77"/>
      <c r="K1173" s="81" t="b">
        <v>0</v>
      </c>
      <c r="L1173" s="78"/>
      <c r="M1173" s="82"/>
      <c r="N1173" s="78"/>
      <c r="O1173" s="78"/>
      <c r="P1173" s="78"/>
      <c r="Q1173" s="78"/>
      <c r="R1173" s="78"/>
      <c r="S1173" s="78"/>
      <c r="T1173" s="83"/>
    </row>
    <row r="1174" spans="1:20" ht="15" customHeight="1" x14ac:dyDescent="0.3">
      <c r="A1174" s="73"/>
      <c r="B1174" s="74"/>
      <c r="C1174" s="75"/>
      <c r="D1174" s="76"/>
      <c r="E1174" s="77"/>
      <c r="F1174" s="78"/>
      <c r="G1174" s="78"/>
      <c r="H1174" s="79"/>
      <c r="I1174" s="80"/>
      <c r="J1174" s="77"/>
      <c r="K1174" s="81" t="b">
        <v>0</v>
      </c>
      <c r="L1174" s="78"/>
      <c r="M1174" s="82"/>
      <c r="N1174" s="78"/>
      <c r="O1174" s="78"/>
      <c r="P1174" s="78"/>
      <c r="Q1174" s="78"/>
      <c r="R1174" s="78"/>
      <c r="S1174" s="78"/>
      <c r="T1174" s="83"/>
    </row>
    <row r="1175" spans="1:20" ht="15" customHeight="1" x14ac:dyDescent="0.3">
      <c r="A1175" s="73"/>
      <c r="B1175" s="74"/>
      <c r="C1175" s="75"/>
      <c r="D1175" s="76"/>
      <c r="E1175" s="77"/>
      <c r="F1175" s="78"/>
      <c r="G1175" s="78"/>
      <c r="H1175" s="79"/>
      <c r="I1175" s="80"/>
      <c r="J1175" s="77"/>
      <c r="K1175" s="81" t="b">
        <v>0</v>
      </c>
      <c r="L1175" s="78"/>
      <c r="M1175" s="82"/>
      <c r="N1175" s="78"/>
      <c r="O1175" s="78"/>
      <c r="P1175" s="78"/>
      <c r="Q1175" s="78"/>
      <c r="R1175" s="78"/>
      <c r="S1175" s="78"/>
      <c r="T1175" s="83"/>
    </row>
    <row r="1176" spans="1:20" ht="15" customHeight="1" x14ac:dyDescent="0.3">
      <c r="A1176" s="73"/>
      <c r="B1176" s="74"/>
      <c r="C1176" s="75"/>
      <c r="D1176" s="76"/>
      <c r="E1176" s="77"/>
      <c r="F1176" s="78"/>
      <c r="G1176" s="78"/>
      <c r="H1176" s="79"/>
      <c r="I1176" s="80"/>
      <c r="J1176" s="77"/>
      <c r="K1176" s="81" t="b">
        <v>0</v>
      </c>
      <c r="L1176" s="78"/>
      <c r="M1176" s="82"/>
      <c r="N1176" s="78"/>
      <c r="O1176" s="78"/>
      <c r="P1176" s="78"/>
      <c r="Q1176" s="78"/>
      <c r="R1176" s="78"/>
      <c r="S1176" s="78"/>
      <c r="T1176" s="83"/>
    </row>
    <row r="1177" spans="1:20" ht="15" customHeight="1" x14ac:dyDescent="0.3">
      <c r="A1177" s="73"/>
      <c r="B1177" s="74"/>
      <c r="C1177" s="75"/>
      <c r="D1177" s="76"/>
      <c r="E1177" s="77"/>
      <c r="F1177" s="78"/>
      <c r="G1177" s="78"/>
      <c r="H1177" s="79"/>
      <c r="I1177" s="80"/>
      <c r="J1177" s="77"/>
      <c r="K1177" s="81" t="b">
        <v>0</v>
      </c>
      <c r="L1177" s="78"/>
      <c r="M1177" s="82"/>
      <c r="N1177" s="78"/>
      <c r="O1177" s="78"/>
      <c r="P1177" s="78"/>
      <c r="Q1177" s="78"/>
      <c r="R1177" s="78"/>
      <c r="S1177" s="78"/>
      <c r="T1177" s="83"/>
    </row>
    <row r="1178" spans="1:20" ht="15" customHeight="1" x14ac:dyDescent="0.3">
      <c r="A1178" s="73"/>
      <c r="B1178" s="74"/>
      <c r="C1178" s="75"/>
      <c r="D1178" s="76"/>
      <c r="E1178" s="77"/>
      <c r="F1178" s="78"/>
      <c r="G1178" s="78"/>
      <c r="H1178" s="79"/>
      <c r="I1178" s="80"/>
      <c r="J1178" s="77"/>
      <c r="K1178" s="81" t="b">
        <v>0</v>
      </c>
      <c r="L1178" s="78"/>
      <c r="M1178" s="82"/>
      <c r="N1178" s="78"/>
      <c r="O1178" s="78"/>
      <c r="P1178" s="78"/>
      <c r="Q1178" s="78"/>
      <c r="R1178" s="78"/>
      <c r="S1178" s="78"/>
      <c r="T1178" s="83"/>
    </row>
    <row r="1179" spans="1:20" ht="15" customHeight="1" x14ac:dyDescent="0.3">
      <c r="A1179" s="73"/>
      <c r="B1179" s="74"/>
      <c r="C1179" s="75"/>
      <c r="D1179" s="76"/>
      <c r="E1179" s="77"/>
      <c r="F1179" s="78"/>
      <c r="G1179" s="78"/>
      <c r="H1179" s="79"/>
      <c r="I1179" s="80"/>
      <c r="J1179" s="77"/>
      <c r="K1179" s="81" t="b">
        <v>0</v>
      </c>
      <c r="L1179" s="78"/>
      <c r="M1179" s="82"/>
      <c r="N1179" s="78"/>
      <c r="O1179" s="78"/>
      <c r="P1179" s="78"/>
      <c r="Q1179" s="78"/>
      <c r="R1179" s="78"/>
      <c r="S1179" s="78"/>
      <c r="T1179" s="83"/>
    </row>
    <row r="1180" spans="1:20" ht="15" customHeight="1" x14ac:dyDescent="0.3">
      <c r="A1180" s="73"/>
      <c r="B1180" s="74"/>
      <c r="C1180" s="75"/>
      <c r="D1180" s="76"/>
      <c r="E1180" s="77"/>
      <c r="F1180" s="78"/>
      <c r="G1180" s="78"/>
      <c r="H1180" s="79"/>
      <c r="I1180" s="80"/>
      <c r="J1180" s="77"/>
      <c r="K1180" s="81" t="b">
        <v>0</v>
      </c>
      <c r="L1180" s="78"/>
      <c r="M1180" s="82"/>
      <c r="N1180" s="78"/>
      <c r="O1180" s="78"/>
      <c r="P1180" s="78"/>
      <c r="Q1180" s="78"/>
      <c r="R1180" s="78"/>
      <c r="S1180" s="78"/>
      <c r="T1180" s="83"/>
    </row>
    <row r="1181" spans="1:20" ht="15" customHeight="1" x14ac:dyDescent="0.3">
      <c r="A1181" s="73"/>
      <c r="B1181" s="74"/>
      <c r="C1181" s="75"/>
      <c r="D1181" s="76"/>
      <c r="E1181" s="77"/>
      <c r="F1181" s="78"/>
      <c r="G1181" s="78"/>
      <c r="H1181" s="79"/>
      <c r="I1181" s="80"/>
      <c r="J1181" s="77"/>
      <c r="K1181" s="81" t="b">
        <v>0</v>
      </c>
      <c r="L1181" s="78"/>
      <c r="M1181" s="82"/>
      <c r="N1181" s="78"/>
      <c r="O1181" s="78"/>
      <c r="P1181" s="78"/>
      <c r="Q1181" s="78"/>
      <c r="R1181" s="78"/>
      <c r="S1181" s="78"/>
      <c r="T1181" s="83"/>
    </row>
    <row r="1182" spans="1:20" ht="15" customHeight="1" x14ac:dyDescent="0.3">
      <c r="A1182" s="73"/>
      <c r="B1182" s="74"/>
      <c r="C1182" s="75"/>
      <c r="D1182" s="76"/>
      <c r="E1182" s="77"/>
      <c r="F1182" s="78"/>
      <c r="G1182" s="78"/>
      <c r="H1182" s="79"/>
      <c r="I1182" s="80"/>
      <c r="J1182" s="77"/>
      <c r="K1182" s="81" t="b">
        <v>0</v>
      </c>
      <c r="L1182" s="78"/>
      <c r="M1182" s="82"/>
      <c r="N1182" s="78"/>
      <c r="O1182" s="78"/>
      <c r="P1182" s="78"/>
      <c r="Q1182" s="78"/>
      <c r="R1182" s="78"/>
      <c r="S1182" s="78"/>
      <c r="T1182" s="83"/>
    </row>
    <row r="1183" spans="1:20" ht="15" customHeight="1" x14ac:dyDescent="0.3">
      <c r="A1183" s="73"/>
      <c r="B1183" s="74"/>
      <c r="C1183" s="75"/>
      <c r="D1183" s="76"/>
      <c r="E1183" s="77"/>
      <c r="F1183" s="78"/>
      <c r="G1183" s="78"/>
      <c r="H1183" s="79"/>
      <c r="I1183" s="80"/>
      <c r="J1183" s="77"/>
      <c r="K1183" s="81" t="b">
        <v>0</v>
      </c>
      <c r="L1183" s="78"/>
      <c r="M1183" s="82"/>
      <c r="N1183" s="78"/>
      <c r="O1183" s="78"/>
      <c r="P1183" s="78"/>
      <c r="Q1183" s="78"/>
      <c r="R1183" s="78"/>
      <c r="S1183" s="78"/>
      <c r="T1183" s="83"/>
    </row>
    <row r="1184" spans="1:20" ht="15" customHeight="1" x14ac:dyDescent="0.3">
      <c r="A1184" s="73"/>
      <c r="B1184" s="74"/>
      <c r="C1184" s="75"/>
      <c r="D1184" s="76"/>
      <c r="E1184" s="77"/>
      <c r="F1184" s="78"/>
      <c r="G1184" s="78"/>
      <c r="H1184" s="79"/>
      <c r="I1184" s="80"/>
      <c r="J1184" s="77"/>
      <c r="K1184" s="81" t="b">
        <v>0</v>
      </c>
      <c r="L1184" s="78"/>
      <c r="M1184" s="82"/>
      <c r="N1184" s="78"/>
      <c r="O1184" s="78"/>
      <c r="P1184" s="78"/>
      <c r="Q1184" s="78"/>
      <c r="R1184" s="78"/>
      <c r="S1184" s="78"/>
      <c r="T1184" s="83"/>
    </row>
    <row r="1185" spans="1:20" ht="15" customHeight="1" x14ac:dyDescent="0.3">
      <c r="A1185" s="73"/>
      <c r="B1185" s="74"/>
      <c r="C1185" s="75"/>
      <c r="D1185" s="76"/>
      <c r="E1185" s="77"/>
      <c r="F1185" s="78"/>
      <c r="G1185" s="78"/>
      <c r="H1185" s="79"/>
      <c r="I1185" s="80"/>
      <c r="J1185" s="77"/>
      <c r="K1185" s="81" t="b">
        <v>0</v>
      </c>
      <c r="L1185" s="78"/>
      <c r="M1185" s="82"/>
      <c r="N1185" s="78"/>
      <c r="O1185" s="78"/>
      <c r="P1185" s="78"/>
      <c r="Q1185" s="78"/>
      <c r="R1185" s="78"/>
      <c r="S1185" s="78"/>
      <c r="T1185" s="83"/>
    </row>
    <row r="1186" spans="1:20" ht="15" customHeight="1" x14ac:dyDescent="0.3">
      <c r="A1186" s="73"/>
      <c r="B1186" s="74"/>
      <c r="C1186" s="75"/>
      <c r="D1186" s="76"/>
      <c r="E1186" s="77"/>
      <c r="F1186" s="78"/>
      <c r="G1186" s="78"/>
      <c r="H1186" s="79"/>
      <c r="I1186" s="80"/>
      <c r="J1186" s="77"/>
      <c r="K1186" s="81" t="b">
        <v>0</v>
      </c>
      <c r="L1186" s="78"/>
      <c r="M1186" s="82"/>
      <c r="N1186" s="78"/>
      <c r="O1186" s="78"/>
      <c r="P1186" s="78"/>
      <c r="Q1186" s="78"/>
      <c r="R1186" s="78"/>
      <c r="S1186" s="78"/>
      <c r="T1186" s="83"/>
    </row>
    <row r="1187" spans="1:20" ht="15" customHeight="1" x14ac:dyDescent="0.3">
      <c r="A1187" s="73"/>
      <c r="B1187" s="74"/>
      <c r="C1187" s="75"/>
      <c r="D1187" s="76"/>
      <c r="E1187" s="77"/>
      <c r="F1187" s="78"/>
      <c r="G1187" s="78"/>
      <c r="H1187" s="79"/>
      <c r="I1187" s="80"/>
      <c r="J1187" s="77"/>
      <c r="K1187" s="81" t="b">
        <v>0</v>
      </c>
      <c r="L1187" s="78"/>
      <c r="M1187" s="82"/>
      <c r="N1187" s="78"/>
      <c r="O1187" s="78"/>
      <c r="P1187" s="78"/>
      <c r="Q1187" s="78"/>
      <c r="R1187" s="78"/>
      <c r="S1187" s="78"/>
      <c r="T1187" s="83"/>
    </row>
    <row r="1188" spans="1:20" ht="15" customHeight="1" x14ac:dyDescent="0.3">
      <c r="A1188" s="73"/>
      <c r="B1188" s="74"/>
      <c r="C1188" s="75"/>
      <c r="D1188" s="76"/>
      <c r="E1188" s="77"/>
      <c r="F1188" s="78"/>
      <c r="G1188" s="78"/>
      <c r="H1188" s="79"/>
      <c r="I1188" s="80"/>
      <c r="J1188" s="77"/>
      <c r="K1188" s="81" t="b">
        <v>0</v>
      </c>
      <c r="L1188" s="78"/>
      <c r="M1188" s="82"/>
      <c r="N1188" s="78"/>
      <c r="O1188" s="78"/>
      <c r="P1188" s="78"/>
      <c r="Q1188" s="78"/>
      <c r="R1188" s="78"/>
      <c r="S1188" s="78"/>
      <c r="T1188" s="83"/>
    </row>
    <row r="1189" spans="1:20" ht="15" customHeight="1" x14ac:dyDescent="0.3">
      <c r="A1189" s="73"/>
      <c r="B1189" s="74"/>
      <c r="C1189" s="75"/>
      <c r="D1189" s="76"/>
      <c r="E1189" s="77"/>
      <c r="F1189" s="78"/>
      <c r="G1189" s="78"/>
      <c r="H1189" s="79"/>
      <c r="I1189" s="80"/>
      <c r="J1189" s="77"/>
      <c r="K1189" s="81" t="b">
        <v>0</v>
      </c>
      <c r="L1189" s="78"/>
      <c r="M1189" s="82"/>
      <c r="N1189" s="78"/>
      <c r="O1189" s="78"/>
      <c r="P1189" s="78"/>
      <c r="Q1189" s="78"/>
      <c r="R1189" s="78"/>
      <c r="S1189" s="78"/>
      <c r="T1189" s="83"/>
    </row>
    <row r="1190" spans="1:20" ht="15" customHeight="1" x14ac:dyDescent="0.3">
      <c r="A1190" s="73"/>
      <c r="B1190" s="74"/>
      <c r="C1190" s="75"/>
      <c r="D1190" s="76"/>
      <c r="E1190" s="77"/>
      <c r="F1190" s="78"/>
      <c r="G1190" s="78"/>
      <c r="H1190" s="79"/>
      <c r="I1190" s="80"/>
      <c r="J1190" s="77"/>
      <c r="K1190" s="81" t="b">
        <v>0</v>
      </c>
      <c r="L1190" s="78"/>
      <c r="M1190" s="82"/>
      <c r="N1190" s="78"/>
      <c r="O1190" s="78"/>
      <c r="P1190" s="78"/>
      <c r="Q1190" s="78"/>
      <c r="R1190" s="78"/>
      <c r="S1190" s="78"/>
      <c r="T1190" s="83"/>
    </row>
    <row r="1191" spans="1:20" ht="15" customHeight="1" x14ac:dyDescent="0.3">
      <c r="A1191" s="73"/>
      <c r="B1191" s="74"/>
      <c r="C1191" s="75"/>
      <c r="D1191" s="76"/>
      <c r="E1191" s="77"/>
      <c r="F1191" s="78"/>
      <c r="G1191" s="78"/>
      <c r="H1191" s="79"/>
      <c r="I1191" s="80"/>
      <c r="J1191" s="77"/>
      <c r="K1191" s="81" t="b">
        <v>0</v>
      </c>
      <c r="L1191" s="78"/>
      <c r="M1191" s="82"/>
      <c r="N1191" s="78"/>
      <c r="O1191" s="78"/>
      <c r="P1191" s="78"/>
      <c r="Q1191" s="78"/>
      <c r="R1191" s="78"/>
      <c r="S1191" s="78"/>
      <c r="T1191" s="83"/>
    </row>
    <row r="1192" spans="1:20" ht="15" customHeight="1" x14ac:dyDescent="0.3">
      <c r="A1192" s="73"/>
      <c r="B1192" s="74"/>
      <c r="C1192" s="75"/>
      <c r="D1192" s="76"/>
      <c r="E1192" s="77"/>
      <c r="F1192" s="78"/>
      <c r="G1192" s="78"/>
      <c r="H1192" s="79"/>
      <c r="I1192" s="80"/>
      <c r="J1192" s="77"/>
      <c r="K1192" s="81" t="b">
        <v>0</v>
      </c>
      <c r="L1192" s="78"/>
      <c r="M1192" s="82"/>
      <c r="N1192" s="78"/>
      <c r="O1192" s="78"/>
      <c r="P1192" s="78"/>
      <c r="Q1192" s="78"/>
      <c r="R1192" s="78"/>
      <c r="S1192" s="78"/>
      <c r="T1192" s="83"/>
    </row>
    <row r="1193" spans="1:20" ht="15" customHeight="1" x14ac:dyDescent="0.3">
      <c r="A1193" s="73"/>
      <c r="B1193" s="74"/>
      <c r="C1193" s="75"/>
      <c r="D1193" s="76"/>
      <c r="E1193" s="77"/>
      <c r="F1193" s="78"/>
      <c r="G1193" s="78"/>
      <c r="H1193" s="79"/>
      <c r="I1193" s="80"/>
      <c r="J1193" s="77"/>
      <c r="K1193" s="81" t="b">
        <v>0</v>
      </c>
      <c r="L1193" s="78"/>
      <c r="M1193" s="82"/>
      <c r="N1193" s="78"/>
      <c r="O1193" s="78"/>
      <c r="P1193" s="78"/>
      <c r="Q1193" s="78"/>
      <c r="R1193" s="78"/>
      <c r="S1193" s="78"/>
      <c r="T1193" s="83"/>
    </row>
    <row r="1194" spans="1:20" ht="15" customHeight="1" x14ac:dyDescent="0.3">
      <c r="A1194" s="73"/>
      <c r="B1194" s="74"/>
      <c r="C1194" s="75"/>
      <c r="D1194" s="76"/>
      <c r="E1194" s="77"/>
      <c r="F1194" s="78"/>
      <c r="G1194" s="78"/>
      <c r="H1194" s="79"/>
      <c r="I1194" s="80"/>
      <c r="J1194" s="77"/>
      <c r="K1194" s="81" t="b">
        <v>0</v>
      </c>
      <c r="L1194" s="78"/>
      <c r="M1194" s="82"/>
      <c r="N1194" s="78"/>
      <c r="O1194" s="78"/>
      <c r="P1194" s="78"/>
      <c r="Q1194" s="78"/>
      <c r="R1194" s="78"/>
      <c r="S1194" s="78"/>
      <c r="T1194" s="83"/>
    </row>
    <row r="1195" spans="1:20" ht="15" customHeight="1" x14ac:dyDescent="0.3">
      <c r="A1195" s="73"/>
      <c r="B1195" s="74"/>
      <c r="C1195" s="75"/>
      <c r="D1195" s="76"/>
      <c r="E1195" s="77"/>
      <c r="F1195" s="78"/>
      <c r="G1195" s="78"/>
      <c r="H1195" s="79"/>
      <c r="I1195" s="80"/>
      <c r="J1195" s="77"/>
      <c r="K1195" s="81" t="b">
        <v>0</v>
      </c>
      <c r="L1195" s="78"/>
      <c r="M1195" s="82"/>
      <c r="N1195" s="78"/>
      <c r="O1195" s="78"/>
      <c r="P1195" s="78"/>
      <c r="Q1195" s="78"/>
      <c r="R1195" s="78"/>
      <c r="S1195" s="78"/>
      <c r="T1195" s="83"/>
    </row>
    <row r="1196" spans="1:20" ht="15" customHeight="1" x14ac:dyDescent="0.3">
      <c r="A1196" s="73"/>
      <c r="B1196" s="74"/>
      <c r="C1196" s="75"/>
      <c r="D1196" s="76"/>
      <c r="E1196" s="77"/>
      <c r="F1196" s="78"/>
      <c r="G1196" s="78"/>
      <c r="H1196" s="79"/>
      <c r="I1196" s="80"/>
      <c r="J1196" s="77"/>
      <c r="K1196" s="81" t="b">
        <v>0</v>
      </c>
      <c r="L1196" s="78"/>
      <c r="M1196" s="82"/>
      <c r="N1196" s="78"/>
      <c r="O1196" s="78"/>
      <c r="P1196" s="78"/>
      <c r="Q1196" s="78"/>
      <c r="R1196" s="78"/>
      <c r="S1196" s="78"/>
      <c r="T1196" s="83"/>
    </row>
    <row r="1197" spans="1:20" ht="15" customHeight="1" x14ac:dyDescent="0.3">
      <c r="A1197" s="73"/>
      <c r="B1197" s="74"/>
      <c r="C1197" s="75"/>
      <c r="D1197" s="76"/>
      <c r="E1197" s="77"/>
      <c r="F1197" s="78"/>
      <c r="G1197" s="78"/>
      <c r="H1197" s="79"/>
      <c r="I1197" s="80"/>
      <c r="J1197" s="77"/>
      <c r="K1197" s="81" t="b">
        <v>0</v>
      </c>
      <c r="L1197" s="78"/>
      <c r="M1197" s="82"/>
      <c r="N1197" s="78"/>
      <c r="O1197" s="78"/>
      <c r="P1197" s="78"/>
      <c r="Q1197" s="78"/>
      <c r="R1197" s="78"/>
      <c r="S1197" s="78"/>
      <c r="T1197" s="83"/>
    </row>
    <row r="1198" spans="1:20" ht="15" customHeight="1" x14ac:dyDescent="0.3">
      <c r="A1198" s="73"/>
      <c r="B1198" s="74"/>
      <c r="C1198" s="75"/>
      <c r="D1198" s="76"/>
      <c r="E1198" s="77"/>
      <c r="F1198" s="78"/>
      <c r="G1198" s="78"/>
      <c r="H1198" s="79"/>
      <c r="I1198" s="80"/>
      <c r="J1198" s="77"/>
      <c r="K1198" s="81" t="b">
        <v>0</v>
      </c>
      <c r="L1198" s="78"/>
      <c r="M1198" s="82"/>
      <c r="N1198" s="78"/>
      <c r="O1198" s="78"/>
      <c r="P1198" s="78"/>
      <c r="Q1198" s="78"/>
      <c r="R1198" s="78"/>
      <c r="S1198" s="78"/>
      <c r="T1198" s="83"/>
    </row>
    <row r="1199" spans="1:20" ht="15" customHeight="1" x14ac:dyDescent="0.3">
      <c r="A1199" s="73"/>
      <c r="B1199" s="74"/>
      <c r="C1199" s="75"/>
      <c r="D1199" s="76"/>
      <c r="E1199" s="77"/>
      <c r="F1199" s="78"/>
      <c r="G1199" s="78"/>
      <c r="H1199" s="79"/>
      <c r="I1199" s="80"/>
      <c r="J1199" s="77"/>
      <c r="K1199" s="81" t="b">
        <v>0</v>
      </c>
      <c r="L1199" s="78"/>
      <c r="M1199" s="82"/>
      <c r="N1199" s="78"/>
      <c r="O1199" s="78"/>
      <c r="P1199" s="78"/>
      <c r="Q1199" s="78"/>
      <c r="R1199" s="78"/>
      <c r="S1199" s="78"/>
      <c r="T1199" s="83"/>
    </row>
    <row r="1200" spans="1:20" ht="15" customHeight="1" x14ac:dyDescent="0.3">
      <c r="A1200" s="73"/>
      <c r="B1200" s="74"/>
      <c r="C1200" s="75"/>
      <c r="D1200" s="76"/>
      <c r="E1200" s="77"/>
      <c r="F1200" s="78"/>
      <c r="G1200" s="78"/>
      <c r="H1200" s="79"/>
      <c r="I1200" s="80"/>
      <c r="J1200" s="77"/>
      <c r="K1200" s="81" t="b">
        <v>0</v>
      </c>
      <c r="L1200" s="78"/>
      <c r="M1200" s="82"/>
      <c r="N1200" s="78"/>
      <c r="O1200" s="78"/>
      <c r="P1200" s="78"/>
      <c r="Q1200" s="78"/>
      <c r="R1200" s="78"/>
      <c r="S1200" s="78"/>
      <c r="T1200" s="83"/>
    </row>
    <row r="1201" spans="1:20" ht="15" customHeight="1" x14ac:dyDescent="0.3">
      <c r="A1201" s="73"/>
      <c r="B1201" s="74"/>
      <c r="C1201" s="75"/>
      <c r="D1201" s="76"/>
      <c r="E1201" s="77"/>
      <c r="F1201" s="78"/>
      <c r="G1201" s="78"/>
      <c r="H1201" s="79"/>
      <c r="I1201" s="80"/>
      <c r="J1201" s="77"/>
      <c r="K1201" s="81" t="b">
        <v>0</v>
      </c>
      <c r="L1201" s="78"/>
      <c r="M1201" s="82"/>
      <c r="N1201" s="78"/>
      <c r="O1201" s="78"/>
      <c r="P1201" s="78"/>
      <c r="Q1201" s="78"/>
      <c r="R1201" s="78"/>
      <c r="S1201" s="78"/>
      <c r="T1201" s="83"/>
    </row>
    <row r="1202" spans="1:20" ht="15" customHeight="1" x14ac:dyDescent="0.3">
      <c r="A1202" s="73"/>
      <c r="B1202" s="74"/>
      <c r="C1202" s="75"/>
      <c r="D1202" s="76"/>
      <c r="E1202" s="77"/>
      <c r="F1202" s="78"/>
      <c r="G1202" s="78"/>
      <c r="H1202" s="79"/>
      <c r="I1202" s="80"/>
      <c r="J1202" s="77"/>
      <c r="K1202" s="81" t="b">
        <v>0</v>
      </c>
      <c r="L1202" s="78"/>
      <c r="M1202" s="82"/>
      <c r="N1202" s="78"/>
      <c r="O1202" s="78"/>
      <c r="P1202" s="78"/>
      <c r="Q1202" s="78"/>
      <c r="R1202" s="78"/>
      <c r="S1202" s="78"/>
      <c r="T1202" s="83"/>
    </row>
    <row r="1203" spans="1:20" ht="15" customHeight="1" x14ac:dyDescent="0.3">
      <c r="A1203" s="73"/>
      <c r="B1203" s="74"/>
      <c r="C1203" s="75"/>
      <c r="D1203" s="76"/>
      <c r="E1203" s="77"/>
      <c r="F1203" s="78"/>
      <c r="G1203" s="78"/>
      <c r="H1203" s="79"/>
      <c r="I1203" s="80"/>
      <c r="J1203" s="77"/>
      <c r="K1203" s="81" t="b">
        <v>0</v>
      </c>
      <c r="L1203" s="78"/>
      <c r="M1203" s="82"/>
      <c r="N1203" s="78"/>
      <c r="O1203" s="78"/>
      <c r="P1203" s="78"/>
      <c r="Q1203" s="78"/>
      <c r="R1203" s="78"/>
      <c r="S1203" s="78"/>
      <c r="T1203" s="83"/>
    </row>
    <row r="1204" spans="1:20" ht="15" customHeight="1" x14ac:dyDescent="0.3">
      <c r="A1204" s="73"/>
      <c r="B1204" s="74"/>
      <c r="C1204" s="75"/>
      <c r="D1204" s="76"/>
      <c r="E1204" s="77"/>
      <c r="F1204" s="78"/>
      <c r="G1204" s="78"/>
      <c r="H1204" s="79"/>
      <c r="I1204" s="80"/>
      <c r="J1204" s="77"/>
      <c r="K1204" s="81" t="b">
        <v>0</v>
      </c>
      <c r="L1204" s="78"/>
      <c r="M1204" s="82"/>
      <c r="N1204" s="78"/>
      <c r="O1204" s="78"/>
      <c r="P1204" s="78"/>
      <c r="Q1204" s="78"/>
      <c r="R1204" s="78"/>
      <c r="S1204" s="78"/>
      <c r="T1204" s="83"/>
    </row>
    <row r="1205" spans="1:20" ht="15" customHeight="1" x14ac:dyDescent="0.3">
      <c r="A1205" s="73"/>
      <c r="B1205" s="74"/>
      <c r="C1205" s="75"/>
      <c r="D1205" s="76"/>
      <c r="E1205" s="77"/>
      <c r="F1205" s="78"/>
      <c r="G1205" s="78"/>
      <c r="H1205" s="79"/>
      <c r="I1205" s="80"/>
      <c r="J1205" s="77"/>
      <c r="K1205" s="81" t="b">
        <v>0</v>
      </c>
      <c r="L1205" s="78"/>
      <c r="M1205" s="82"/>
      <c r="N1205" s="78"/>
      <c r="O1205" s="78"/>
      <c r="P1205" s="78"/>
      <c r="Q1205" s="78"/>
      <c r="R1205" s="78"/>
      <c r="S1205" s="78"/>
      <c r="T1205" s="83"/>
    </row>
    <row r="1206" spans="1:20" ht="15" customHeight="1" x14ac:dyDescent="0.3">
      <c r="A1206" s="73"/>
      <c r="B1206" s="74"/>
      <c r="C1206" s="75"/>
      <c r="D1206" s="76"/>
      <c r="E1206" s="77"/>
      <c r="F1206" s="78"/>
      <c r="G1206" s="78"/>
      <c r="H1206" s="79"/>
      <c r="I1206" s="80"/>
      <c r="J1206" s="77"/>
      <c r="K1206" s="81" t="b">
        <v>0</v>
      </c>
      <c r="L1206" s="78"/>
      <c r="M1206" s="82"/>
      <c r="N1206" s="78"/>
      <c r="O1206" s="78"/>
      <c r="P1206" s="78"/>
      <c r="Q1206" s="78"/>
      <c r="R1206" s="78"/>
      <c r="S1206" s="78"/>
      <c r="T1206" s="83"/>
    </row>
    <row r="1207" spans="1:20" ht="15" customHeight="1" x14ac:dyDescent="0.3">
      <c r="A1207" s="73"/>
      <c r="B1207" s="74"/>
      <c r="C1207" s="75"/>
      <c r="D1207" s="76"/>
      <c r="E1207" s="77"/>
      <c r="F1207" s="78"/>
      <c r="G1207" s="78"/>
      <c r="H1207" s="79"/>
      <c r="I1207" s="80"/>
      <c r="J1207" s="77"/>
      <c r="K1207" s="81" t="b">
        <v>0</v>
      </c>
      <c r="L1207" s="78"/>
      <c r="M1207" s="82"/>
      <c r="N1207" s="78"/>
      <c r="O1207" s="78"/>
      <c r="P1207" s="78"/>
      <c r="Q1207" s="78"/>
      <c r="R1207" s="78"/>
      <c r="S1207" s="78"/>
      <c r="T1207" s="83"/>
    </row>
    <row r="1208" spans="1:20" ht="15" customHeight="1" x14ac:dyDescent="0.3">
      <c r="A1208" s="73"/>
      <c r="B1208" s="74"/>
      <c r="C1208" s="75"/>
      <c r="D1208" s="76"/>
      <c r="E1208" s="77"/>
      <c r="F1208" s="78"/>
      <c r="G1208" s="78"/>
      <c r="H1208" s="79"/>
      <c r="I1208" s="80"/>
      <c r="J1208" s="77"/>
      <c r="K1208" s="81" t="b">
        <v>0</v>
      </c>
      <c r="L1208" s="78"/>
      <c r="M1208" s="82"/>
      <c r="N1208" s="78"/>
      <c r="O1208" s="78"/>
      <c r="P1208" s="78"/>
      <c r="Q1208" s="78"/>
      <c r="R1208" s="78"/>
      <c r="S1208" s="78"/>
      <c r="T1208" s="83"/>
    </row>
    <row r="1209" spans="1:20" ht="15" customHeight="1" x14ac:dyDescent="0.3">
      <c r="A1209" s="73"/>
      <c r="B1209" s="74"/>
      <c r="C1209" s="75"/>
      <c r="D1209" s="76"/>
      <c r="E1209" s="77"/>
      <c r="F1209" s="78"/>
      <c r="G1209" s="78"/>
      <c r="H1209" s="79"/>
      <c r="I1209" s="80"/>
      <c r="J1209" s="77"/>
      <c r="K1209" s="81" t="b">
        <v>0</v>
      </c>
      <c r="L1209" s="78"/>
      <c r="M1209" s="82"/>
      <c r="N1209" s="78"/>
      <c r="O1209" s="78"/>
      <c r="P1209" s="78"/>
      <c r="Q1209" s="78"/>
      <c r="R1209" s="78"/>
      <c r="S1209" s="78"/>
      <c r="T1209" s="83"/>
    </row>
    <row r="1210" spans="1:20" ht="15" customHeight="1" x14ac:dyDescent="0.3">
      <c r="A1210" s="73"/>
      <c r="B1210" s="74"/>
      <c r="C1210" s="75"/>
      <c r="D1210" s="76"/>
      <c r="E1210" s="77"/>
      <c r="F1210" s="78"/>
      <c r="G1210" s="78"/>
      <c r="H1210" s="79"/>
      <c r="I1210" s="80"/>
      <c r="J1210" s="77"/>
      <c r="K1210" s="81" t="b">
        <v>0</v>
      </c>
      <c r="L1210" s="78"/>
      <c r="M1210" s="82"/>
      <c r="N1210" s="78"/>
      <c r="O1210" s="78"/>
      <c r="P1210" s="78"/>
      <c r="Q1210" s="78"/>
      <c r="R1210" s="78"/>
      <c r="S1210" s="78"/>
      <c r="T1210" s="83"/>
    </row>
    <row r="1211" spans="1:20" ht="15" customHeight="1" x14ac:dyDescent="0.3">
      <c r="A1211" s="73"/>
      <c r="B1211" s="74"/>
      <c r="C1211" s="75"/>
      <c r="D1211" s="76"/>
      <c r="E1211" s="77"/>
      <c r="F1211" s="78"/>
      <c r="G1211" s="78"/>
      <c r="H1211" s="79"/>
      <c r="I1211" s="80"/>
      <c r="J1211" s="77"/>
      <c r="K1211" s="81" t="b">
        <v>0</v>
      </c>
      <c r="L1211" s="78"/>
      <c r="M1211" s="82"/>
      <c r="N1211" s="78"/>
      <c r="O1211" s="78"/>
      <c r="P1211" s="78"/>
      <c r="Q1211" s="78"/>
      <c r="R1211" s="78"/>
      <c r="S1211" s="78"/>
      <c r="T1211" s="83"/>
    </row>
    <row r="1212" spans="1:20" ht="15" customHeight="1" x14ac:dyDescent="0.3">
      <c r="A1212" s="73"/>
      <c r="B1212" s="74"/>
      <c r="C1212" s="75"/>
      <c r="D1212" s="76"/>
      <c r="E1212" s="77"/>
      <c r="F1212" s="78"/>
      <c r="G1212" s="78"/>
      <c r="H1212" s="79"/>
      <c r="I1212" s="80"/>
      <c r="J1212" s="77"/>
      <c r="K1212" s="81" t="b">
        <v>0</v>
      </c>
      <c r="L1212" s="78"/>
      <c r="M1212" s="82"/>
      <c r="N1212" s="78"/>
      <c r="O1212" s="78"/>
      <c r="P1212" s="78"/>
      <c r="Q1212" s="78"/>
      <c r="R1212" s="78"/>
      <c r="S1212" s="78"/>
      <c r="T1212" s="83"/>
    </row>
    <row r="1213" spans="1:20" ht="15" customHeight="1" x14ac:dyDescent="0.3">
      <c r="A1213" s="73"/>
      <c r="B1213" s="74"/>
      <c r="C1213" s="75"/>
      <c r="D1213" s="76"/>
      <c r="E1213" s="77"/>
      <c r="F1213" s="78"/>
      <c r="G1213" s="78"/>
      <c r="H1213" s="79"/>
      <c r="I1213" s="80"/>
      <c r="J1213" s="77"/>
      <c r="K1213" s="81" t="b">
        <v>0</v>
      </c>
      <c r="L1213" s="78"/>
      <c r="M1213" s="82"/>
      <c r="N1213" s="78"/>
      <c r="O1213" s="78"/>
      <c r="P1213" s="78"/>
      <c r="Q1213" s="78"/>
      <c r="R1213" s="78"/>
      <c r="S1213" s="78"/>
      <c r="T1213" s="83"/>
    </row>
    <row r="1214" spans="1:20" ht="15" customHeight="1" x14ac:dyDescent="0.3">
      <c r="A1214" s="73"/>
      <c r="B1214" s="74"/>
      <c r="C1214" s="75"/>
      <c r="D1214" s="76"/>
      <c r="E1214" s="77"/>
      <c r="F1214" s="78"/>
      <c r="G1214" s="78"/>
      <c r="H1214" s="79"/>
      <c r="I1214" s="80"/>
      <c r="J1214" s="77"/>
      <c r="K1214" s="81" t="b">
        <v>0</v>
      </c>
      <c r="L1214" s="78"/>
      <c r="M1214" s="82"/>
      <c r="N1214" s="78"/>
      <c r="O1214" s="78"/>
      <c r="P1214" s="78"/>
      <c r="Q1214" s="78"/>
      <c r="R1214" s="78"/>
      <c r="S1214" s="78"/>
      <c r="T1214" s="83"/>
    </row>
    <row r="1215" spans="1:20" ht="15" customHeight="1" x14ac:dyDescent="0.3">
      <c r="A1215" s="73"/>
      <c r="B1215" s="74"/>
      <c r="C1215" s="75"/>
      <c r="D1215" s="76"/>
      <c r="E1215" s="77"/>
      <c r="F1215" s="78"/>
      <c r="G1215" s="78"/>
      <c r="H1215" s="79"/>
      <c r="I1215" s="80"/>
      <c r="J1215" s="77"/>
      <c r="K1215" s="81" t="b">
        <v>0</v>
      </c>
      <c r="L1215" s="78"/>
      <c r="M1215" s="82"/>
      <c r="N1215" s="78"/>
      <c r="O1215" s="78"/>
      <c r="P1215" s="78"/>
      <c r="Q1215" s="78"/>
      <c r="R1215" s="78"/>
      <c r="S1215" s="78"/>
      <c r="T1215" s="83"/>
    </row>
    <row r="1216" spans="1:20" ht="15" customHeight="1" x14ac:dyDescent="0.3">
      <c r="A1216" s="73"/>
      <c r="B1216" s="74"/>
      <c r="C1216" s="75"/>
      <c r="D1216" s="76"/>
      <c r="E1216" s="77"/>
      <c r="F1216" s="78"/>
      <c r="G1216" s="78"/>
      <c r="H1216" s="79"/>
      <c r="I1216" s="80"/>
      <c r="J1216" s="77"/>
      <c r="K1216" s="81" t="b">
        <v>0</v>
      </c>
      <c r="L1216" s="78"/>
      <c r="M1216" s="82"/>
      <c r="N1216" s="78"/>
      <c r="O1216" s="78"/>
      <c r="P1216" s="78"/>
      <c r="Q1216" s="78"/>
      <c r="R1216" s="78"/>
      <c r="S1216" s="78"/>
      <c r="T1216" s="83"/>
    </row>
    <row r="1217" spans="1:20" ht="15" customHeight="1" x14ac:dyDescent="0.3">
      <c r="A1217" s="73"/>
      <c r="B1217" s="74"/>
      <c r="C1217" s="75"/>
      <c r="D1217" s="76"/>
      <c r="E1217" s="77"/>
      <c r="F1217" s="78"/>
      <c r="G1217" s="78"/>
      <c r="H1217" s="79"/>
      <c r="I1217" s="80"/>
      <c r="J1217" s="77"/>
      <c r="K1217" s="81" t="b">
        <v>0</v>
      </c>
      <c r="L1217" s="78"/>
      <c r="M1217" s="82"/>
      <c r="N1217" s="78"/>
      <c r="O1217" s="78"/>
      <c r="P1217" s="78"/>
      <c r="Q1217" s="78"/>
      <c r="R1217" s="78"/>
      <c r="S1217" s="78"/>
      <c r="T1217" s="83"/>
    </row>
    <row r="1218" spans="1:20" ht="15" customHeight="1" x14ac:dyDescent="0.3">
      <c r="A1218" s="73"/>
      <c r="B1218" s="74"/>
      <c r="C1218" s="75"/>
      <c r="D1218" s="76"/>
      <c r="E1218" s="77"/>
      <c r="F1218" s="78"/>
      <c r="G1218" s="78"/>
      <c r="H1218" s="79"/>
      <c r="I1218" s="80"/>
      <c r="J1218" s="77"/>
      <c r="K1218" s="81" t="b">
        <v>0</v>
      </c>
      <c r="L1218" s="78"/>
      <c r="M1218" s="82"/>
      <c r="N1218" s="78"/>
      <c r="O1218" s="78"/>
      <c r="P1218" s="78"/>
      <c r="Q1218" s="78"/>
      <c r="R1218" s="78"/>
      <c r="S1218" s="78"/>
      <c r="T1218" s="83"/>
    </row>
    <row r="1219" spans="1:20" ht="15" customHeight="1" x14ac:dyDescent="0.3">
      <c r="A1219" s="73"/>
      <c r="B1219" s="74"/>
      <c r="C1219" s="75"/>
      <c r="D1219" s="76"/>
      <c r="E1219" s="77"/>
      <c r="F1219" s="78"/>
      <c r="G1219" s="78"/>
      <c r="H1219" s="79"/>
      <c r="I1219" s="80"/>
      <c r="J1219" s="77"/>
      <c r="K1219" s="81" t="b">
        <v>0</v>
      </c>
      <c r="L1219" s="78"/>
      <c r="M1219" s="82"/>
      <c r="N1219" s="78"/>
      <c r="O1219" s="78"/>
      <c r="P1219" s="78"/>
      <c r="Q1219" s="78"/>
      <c r="R1219" s="78"/>
      <c r="S1219" s="78"/>
      <c r="T1219" s="83"/>
    </row>
    <row r="1220" spans="1:20" ht="15" customHeight="1" x14ac:dyDescent="0.3">
      <c r="A1220" s="73"/>
      <c r="B1220" s="74"/>
      <c r="C1220" s="75"/>
      <c r="D1220" s="76"/>
      <c r="E1220" s="77"/>
      <c r="F1220" s="78"/>
      <c r="G1220" s="78"/>
      <c r="H1220" s="79"/>
      <c r="I1220" s="80"/>
      <c r="J1220" s="77"/>
      <c r="K1220" s="81" t="b">
        <v>0</v>
      </c>
      <c r="L1220" s="78"/>
      <c r="M1220" s="82"/>
      <c r="N1220" s="78"/>
      <c r="O1220" s="78"/>
      <c r="P1220" s="78"/>
      <c r="Q1220" s="78"/>
      <c r="R1220" s="78"/>
      <c r="S1220" s="78"/>
      <c r="T1220" s="83"/>
    </row>
    <row r="1221" spans="1:20" ht="15" customHeight="1" x14ac:dyDescent="0.3">
      <c r="A1221" s="73"/>
      <c r="B1221" s="74"/>
      <c r="C1221" s="75"/>
      <c r="D1221" s="76"/>
      <c r="E1221" s="77"/>
      <c r="F1221" s="78"/>
      <c r="G1221" s="78"/>
      <c r="H1221" s="79"/>
      <c r="I1221" s="80"/>
      <c r="J1221" s="77"/>
      <c r="K1221" s="81" t="b">
        <v>0</v>
      </c>
      <c r="L1221" s="78"/>
      <c r="M1221" s="82"/>
      <c r="N1221" s="78"/>
      <c r="O1221" s="78"/>
      <c r="P1221" s="78"/>
      <c r="Q1221" s="78"/>
      <c r="R1221" s="78"/>
      <c r="S1221" s="78"/>
      <c r="T1221" s="83"/>
    </row>
    <row r="1222" spans="1:20" ht="15" customHeight="1" x14ac:dyDescent="0.3">
      <c r="A1222" s="73"/>
      <c r="B1222" s="74"/>
      <c r="C1222" s="75"/>
      <c r="D1222" s="76"/>
      <c r="E1222" s="77"/>
      <c r="F1222" s="78"/>
      <c r="G1222" s="78"/>
      <c r="H1222" s="79"/>
      <c r="I1222" s="80"/>
      <c r="J1222" s="77"/>
      <c r="K1222" s="81" t="b">
        <v>0</v>
      </c>
      <c r="L1222" s="78"/>
      <c r="M1222" s="82"/>
      <c r="N1222" s="78"/>
      <c r="O1222" s="78"/>
      <c r="P1222" s="78"/>
      <c r="Q1222" s="78"/>
      <c r="R1222" s="78"/>
      <c r="S1222" s="78"/>
      <c r="T1222" s="83"/>
    </row>
    <row r="1223" spans="1:20" ht="15" customHeight="1" x14ac:dyDescent="0.3">
      <c r="A1223" s="73"/>
      <c r="B1223" s="74"/>
      <c r="C1223" s="75"/>
      <c r="D1223" s="76"/>
      <c r="E1223" s="77"/>
      <c r="F1223" s="78"/>
      <c r="G1223" s="78"/>
      <c r="H1223" s="79"/>
      <c r="I1223" s="80"/>
      <c r="J1223" s="77"/>
      <c r="K1223" s="81" t="b">
        <v>0</v>
      </c>
      <c r="L1223" s="78"/>
      <c r="M1223" s="82"/>
      <c r="N1223" s="78"/>
      <c r="O1223" s="78"/>
      <c r="P1223" s="78"/>
      <c r="Q1223" s="78"/>
      <c r="R1223" s="78"/>
      <c r="S1223" s="78"/>
      <c r="T1223" s="83"/>
    </row>
    <row r="1224" spans="1:20" ht="15" customHeight="1" x14ac:dyDescent="0.3">
      <c r="A1224" s="73"/>
      <c r="B1224" s="74"/>
      <c r="C1224" s="75"/>
      <c r="D1224" s="76"/>
      <c r="E1224" s="77"/>
      <c r="F1224" s="78"/>
      <c r="G1224" s="78"/>
      <c r="H1224" s="79"/>
      <c r="I1224" s="80"/>
      <c r="J1224" s="77"/>
      <c r="K1224" s="81" t="b">
        <v>0</v>
      </c>
      <c r="L1224" s="78"/>
      <c r="M1224" s="82"/>
      <c r="N1224" s="78"/>
      <c r="O1224" s="78"/>
      <c r="P1224" s="78"/>
      <c r="Q1224" s="78"/>
      <c r="R1224" s="78"/>
      <c r="S1224" s="78"/>
      <c r="T1224" s="83"/>
    </row>
    <row r="1225" spans="1:20" ht="15" customHeight="1" x14ac:dyDescent="0.3">
      <c r="A1225" s="73"/>
      <c r="B1225" s="74"/>
      <c r="C1225" s="75"/>
      <c r="D1225" s="76"/>
      <c r="E1225" s="77"/>
      <c r="F1225" s="78"/>
      <c r="G1225" s="78"/>
      <c r="H1225" s="79"/>
      <c r="I1225" s="80"/>
      <c r="J1225" s="77"/>
      <c r="K1225" s="81" t="b">
        <v>0</v>
      </c>
      <c r="L1225" s="78"/>
      <c r="M1225" s="82"/>
      <c r="N1225" s="78"/>
      <c r="O1225" s="78"/>
      <c r="P1225" s="78"/>
      <c r="Q1225" s="78"/>
      <c r="R1225" s="78"/>
      <c r="S1225" s="78"/>
      <c r="T1225" s="83"/>
    </row>
    <row r="1226" spans="1:20" ht="15" customHeight="1" x14ac:dyDescent="0.3">
      <c r="A1226" s="73"/>
      <c r="B1226" s="74"/>
      <c r="C1226" s="75"/>
      <c r="D1226" s="76"/>
      <c r="E1226" s="77"/>
      <c r="F1226" s="78"/>
      <c r="G1226" s="78"/>
      <c r="H1226" s="79"/>
      <c r="I1226" s="80"/>
      <c r="J1226" s="77"/>
      <c r="K1226" s="81" t="b">
        <v>0</v>
      </c>
      <c r="L1226" s="78"/>
      <c r="M1226" s="82"/>
      <c r="N1226" s="78"/>
      <c r="O1226" s="78"/>
      <c r="P1226" s="78"/>
      <c r="Q1226" s="78"/>
      <c r="R1226" s="78"/>
      <c r="S1226" s="78"/>
      <c r="T1226" s="83"/>
    </row>
    <row r="1227" spans="1:20" ht="15" customHeight="1" x14ac:dyDescent="0.3">
      <c r="A1227" s="73"/>
      <c r="B1227" s="74"/>
      <c r="C1227" s="75"/>
      <c r="D1227" s="76"/>
      <c r="E1227" s="77"/>
      <c r="F1227" s="78"/>
      <c r="G1227" s="78"/>
      <c r="H1227" s="79"/>
      <c r="I1227" s="80"/>
      <c r="J1227" s="77"/>
      <c r="K1227" s="81" t="b">
        <v>0</v>
      </c>
      <c r="L1227" s="78"/>
      <c r="M1227" s="82"/>
      <c r="N1227" s="78"/>
      <c r="O1227" s="78"/>
      <c r="P1227" s="78"/>
      <c r="Q1227" s="78"/>
      <c r="R1227" s="78"/>
      <c r="S1227" s="78"/>
      <c r="T1227" s="83"/>
    </row>
    <row r="1228" spans="1:20" ht="15" customHeight="1" x14ac:dyDescent="0.3">
      <c r="A1228" s="73"/>
      <c r="B1228" s="74"/>
      <c r="C1228" s="75"/>
      <c r="D1228" s="76"/>
      <c r="E1228" s="77"/>
      <c r="F1228" s="78"/>
      <c r="G1228" s="78"/>
      <c r="H1228" s="79"/>
      <c r="I1228" s="80"/>
      <c r="J1228" s="77"/>
      <c r="K1228" s="81" t="b">
        <v>0</v>
      </c>
      <c r="L1228" s="78"/>
      <c r="M1228" s="82"/>
      <c r="N1228" s="78"/>
      <c r="O1228" s="78"/>
      <c r="P1228" s="78"/>
      <c r="Q1228" s="78"/>
      <c r="R1228" s="78"/>
      <c r="S1228" s="78"/>
      <c r="T1228" s="83"/>
    </row>
    <row r="1229" spans="1:20" ht="15" customHeight="1" x14ac:dyDescent="0.3">
      <c r="A1229" s="73"/>
      <c r="B1229" s="74"/>
      <c r="C1229" s="75"/>
      <c r="D1229" s="76"/>
      <c r="E1229" s="77"/>
      <c r="F1229" s="78"/>
      <c r="G1229" s="78"/>
      <c r="H1229" s="79"/>
      <c r="I1229" s="80"/>
      <c r="J1229" s="77"/>
      <c r="K1229" s="81" t="b">
        <v>0</v>
      </c>
      <c r="L1229" s="78"/>
      <c r="M1229" s="82"/>
      <c r="N1229" s="78"/>
      <c r="O1229" s="78"/>
      <c r="P1229" s="78"/>
      <c r="Q1229" s="78"/>
      <c r="R1229" s="78"/>
      <c r="S1229" s="78"/>
      <c r="T1229" s="83"/>
    </row>
    <row r="1230" spans="1:20" ht="15" customHeight="1" x14ac:dyDescent="0.3">
      <c r="A1230" s="73"/>
      <c r="B1230" s="74"/>
      <c r="C1230" s="75"/>
      <c r="D1230" s="76"/>
      <c r="E1230" s="77"/>
      <c r="F1230" s="78"/>
      <c r="G1230" s="78"/>
      <c r="H1230" s="79"/>
      <c r="I1230" s="80"/>
      <c r="J1230" s="77"/>
      <c r="K1230" s="81" t="b">
        <v>0</v>
      </c>
      <c r="L1230" s="78"/>
      <c r="M1230" s="82"/>
      <c r="N1230" s="78"/>
      <c r="O1230" s="78"/>
      <c r="P1230" s="78"/>
      <c r="Q1230" s="78"/>
      <c r="R1230" s="78"/>
      <c r="S1230" s="78"/>
      <c r="T1230" s="83"/>
    </row>
    <row r="1231" spans="1:20" ht="15" customHeight="1" x14ac:dyDescent="0.3">
      <c r="A1231" s="73"/>
      <c r="B1231" s="74"/>
      <c r="C1231" s="75"/>
      <c r="D1231" s="76"/>
      <c r="E1231" s="77"/>
      <c r="F1231" s="78"/>
      <c r="G1231" s="78"/>
      <c r="H1231" s="79"/>
      <c r="I1231" s="80"/>
      <c r="J1231" s="77"/>
      <c r="K1231" s="81" t="b">
        <v>0</v>
      </c>
      <c r="L1231" s="78"/>
      <c r="M1231" s="82"/>
      <c r="N1231" s="78"/>
      <c r="O1231" s="78"/>
      <c r="P1231" s="78"/>
      <c r="Q1231" s="78"/>
      <c r="R1231" s="78"/>
      <c r="S1231" s="78"/>
      <c r="T1231" s="83"/>
    </row>
    <row r="1232" spans="1:20" ht="15" customHeight="1" x14ac:dyDescent="0.3">
      <c r="A1232" s="73"/>
      <c r="B1232" s="74"/>
      <c r="C1232" s="75"/>
      <c r="D1232" s="76"/>
      <c r="E1232" s="77"/>
      <c r="F1232" s="78"/>
      <c r="G1232" s="78"/>
      <c r="H1232" s="79"/>
      <c r="I1232" s="80"/>
      <c r="J1232" s="77"/>
      <c r="K1232" s="81" t="b">
        <v>0</v>
      </c>
      <c r="L1232" s="78"/>
      <c r="M1232" s="82"/>
      <c r="N1232" s="78"/>
      <c r="O1232" s="78"/>
      <c r="P1232" s="78"/>
      <c r="Q1232" s="78"/>
      <c r="R1232" s="78"/>
      <c r="S1232" s="78"/>
      <c r="T1232" s="83"/>
    </row>
    <row r="1233" spans="1:20" ht="15" customHeight="1" x14ac:dyDescent="0.3">
      <c r="A1233" s="73"/>
      <c r="B1233" s="74"/>
      <c r="C1233" s="75"/>
      <c r="D1233" s="76"/>
      <c r="E1233" s="77"/>
      <c r="F1233" s="78"/>
      <c r="G1233" s="78"/>
      <c r="H1233" s="79"/>
      <c r="I1233" s="80"/>
      <c r="J1233" s="77"/>
      <c r="K1233" s="81" t="b">
        <v>0</v>
      </c>
      <c r="L1233" s="78"/>
      <c r="M1233" s="82"/>
      <c r="N1233" s="78"/>
      <c r="O1233" s="78"/>
      <c r="P1233" s="78"/>
      <c r="Q1233" s="78"/>
      <c r="R1233" s="78"/>
      <c r="S1233" s="78"/>
      <c r="T1233" s="83"/>
    </row>
    <row r="1234" spans="1:20" ht="15" customHeight="1" x14ac:dyDescent="0.3">
      <c r="A1234" s="73"/>
      <c r="B1234" s="74"/>
      <c r="C1234" s="75"/>
      <c r="D1234" s="76"/>
      <c r="E1234" s="77"/>
      <c r="F1234" s="78"/>
      <c r="G1234" s="78"/>
      <c r="H1234" s="79"/>
      <c r="I1234" s="80"/>
      <c r="J1234" s="77"/>
      <c r="K1234" s="81" t="b">
        <v>0</v>
      </c>
      <c r="L1234" s="78"/>
      <c r="M1234" s="82"/>
      <c r="N1234" s="78"/>
      <c r="O1234" s="78"/>
      <c r="P1234" s="78"/>
      <c r="Q1234" s="78"/>
      <c r="R1234" s="78"/>
      <c r="S1234" s="78"/>
      <c r="T1234" s="83"/>
    </row>
    <row r="1235" spans="1:20" ht="15" customHeight="1" x14ac:dyDescent="0.3">
      <c r="A1235" s="73"/>
      <c r="B1235" s="74"/>
      <c r="C1235" s="75"/>
      <c r="D1235" s="76"/>
      <c r="E1235" s="77"/>
      <c r="F1235" s="78"/>
      <c r="G1235" s="78"/>
      <c r="H1235" s="79"/>
      <c r="I1235" s="80"/>
      <c r="J1235" s="77"/>
      <c r="K1235" s="81" t="b">
        <v>0</v>
      </c>
      <c r="L1235" s="78"/>
      <c r="M1235" s="82"/>
      <c r="N1235" s="78"/>
      <c r="O1235" s="78"/>
      <c r="P1235" s="78"/>
      <c r="Q1235" s="78"/>
      <c r="R1235" s="78"/>
      <c r="S1235" s="78"/>
      <c r="T1235" s="83"/>
    </row>
    <row r="1236" spans="1:20" ht="15" customHeight="1" x14ac:dyDescent="0.3">
      <c r="A1236" s="73"/>
      <c r="B1236" s="74"/>
      <c r="C1236" s="75"/>
      <c r="D1236" s="76"/>
      <c r="E1236" s="77"/>
      <c r="F1236" s="78"/>
      <c r="G1236" s="78"/>
      <c r="H1236" s="79"/>
      <c r="I1236" s="80"/>
      <c r="J1236" s="77"/>
      <c r="K1236" s="81" t="b">
        <v>0</v>
      </c>
      <c r="L1236" s="78"/>
      <c r="M1236" s="82"/>
      <c r="N1236" s="78"/>
      <c r="O1236" s="78"/>
      <c r="P1236" s="78"/>
      <c r="Q1236" s="78"/>
      <c r="R1236" s="78"/>
      <c r="S1236" s="78"/>
      <c r="T1236" s="83"/>
    </row>
    <row r="1237" spans="1:20" ht="15" customHeight="1" x14ac:dyDescent="0.3">
      <c r="A1237" s="73"/>
      <c r="B1237" s="74"/>
      <c r="C1237" s="75"/>
      <c r="D1237" s="76"/>
      <c r="E1237" s="77"/>
      <c r="F1237" s="78"/>
      <c r="G1237" s="78"/>
      <c r="H1237" s="79"/>
      <c r="I1237" s="80"/>
      <c r="J1237" s="77"/>
      <c r="K1237" s="81" t="b">
        <v>0</v>
      </c>
      <c r="L1237" s="78"/>
      <c r="M1237" s="82"/>
      <c r="N1237" s="78"/>
      <c r="O1237" s="78"/>
      <c r="P1237" s="78"/>
      <c r="Q1237" s="78"/>
      <c r="R1237" s="78"/>
      <c r="S1237" s="78"/>
      <c r="T1237" s="83"/>
    </row>
    <row r="1238" spans="1:20" ht="15" customHeight="1" x14ac:dyDescent="0.3">
      <c r="A1238" s="73"/>
      <c r="B1238" s="74"/>
      <c r="C1238" s="75"/>
      <c r="D1238" s="76"/>
      <c r="E1238" s="77"/>
      <c r="F1238" s="78"/>
      <c r="G1238" s="78"/>
      <c r="H1238" s="79"/>
      <c r="I1238" s="80"/>
      <c r="J1238" s="77"/>
      <c r="K1238" s="81" t="b">
        <v>0</v>
      </c>
      <c r="L1238" s="78"/>
      <c r="M1238" s="82"/>
      <c r="N1238" s="78"/>
      <c r="O1238" s="78"/>
      <c r="P1238" s="78"/>
      <c r="Q1238" s="78"/>
      <c r="R1238" s="78"/>
      <c r="S1238" s="78"/>
      <c r="T1238" s="83"/>
    </row>
    <row r="1239" spans="1:20" ht="15" customHeight="1" x14ac:dyDescent="0.3">
      <c r="A1239" s="73"/>
      <c r="B1239" s="74"/>
      <c r="C1239" s="75"/>
      <c r="D1239" s="76"/>
      <c r="E1239" s="77"/>
      <c r="F1239" s="78"/>
      <c r="G1239" s="78"/>
      <c r="H1239" s="79"/>
      <c r="I1239" s="80"/>
      <c r="J1239" s="77"/>
      <c r="K1239" s="81" t="b">
        <v>0</v>
      </c>
      <c r="L1239" s="78"/>
      <c r="M1239" s="82"/>
      <c r="N1239" s="78"/>
      <c r="O1239" s="78"/>
      <c r="P1239" s="78"/>
      <c r="Q1239" s="78"/>
      <c r="R1239" s="78"/>
      <c r="S1239" s="78"/>
      <c r="T1239" s="83"/>
    </row>
    <row r="1240" spans="1:20" ht="15" customHeight="1" x14ac:dyDescent="0.3">
      <c r="A1240" s="73"/>
      <c r="B1240" s="74"/>
      <c r="C1240" s="75"/>
      <c r="D1240" s="76"/>
      <c r="E1240" s="77"/>
      <c r="F1240" s="78"/>
      <c r="G1240" s="78"/>
      <c r="H1240" s="79"/>
      <c r="I1240" s="80"/>
      <c r="J1240" s="77"/>
      <c r="K1240" s="81" t="b">
        <v>0</v>
      </c>
      <c r="L1240" s="78"/>
      <c r="M1240" s="82"/>
      <c r="N1240" s="78"/>
      <c r="O1240" s="78"/>
      <c r="P1240" s="78"/>
      <c r="Q1240" s="78"/>
      <c r="R1240" s="78"/>
      <c r="S1240" s="78"/>
      <c r="T1240" s="83"/>
    </row>
    <row r="1241" spans="1:20" ht="15" customHeight="1" x14ac:dyDescent="0.3">
      <c r="A1241" s="73"/>
      <c r="B1241" s="74"/>
      <c r="C1241" s="75"/>
      <c r="D1241" s="76"/>
      <c r="E1241" s="77"/>
      <c r="F1241" s="78"/>
      <c r="G1241" s="78"/>
      <c r="H1241" s="79"/>
      <c r="I1241" s="80"/>
      <c r="J1241" s="77"/>
      <c r="K1241" s="81" t="b">
        <v>0</v>
      </c>
      <c r="L1241" s="78"/>
      <c r="M1241" s="82"/>
      <c r="N1241" s="78"/>
      <c r="O1241" s="78"/>
      <c r="P1241" s="78"/>
      <c r="Q1241" s="78"/>
      <c r="R1241" s="78"/>
      <c r="S1241" s="78"/>
      <c r="T1241" s="83"/>
    </row>
    <row r="1242" spans="1:20" ht="15" customHeight="1" x14ac:dyDescent="0.3">
      <c r="A1242" s="73"/>
      <c r="B1242" s="74"/>
      <c r="C1242" s="75"/>
      <c r="D1242" s="76"/>
      <c r="E1242" s="77"/>
      <c r="F1242" s="78"/>
      <c r="G1242" s="78"/>
      <c r="H1242" s="79"/>
      <c r="I1242" s="80"/>
      <c r="J1242" s="77"/>
      <c r="K1242" s="81" t="b">
        <v>0</v>
      </c>
      <c r="L1242" s="78"/>
      <c r="M1242" s="82"/>
      <c r="N1242" s="78"/>
      <c r="O1242" s="78"/>
      <c r="P1242" s="78"/>
      <c r="Q1242" s="78"/>
      <c r="R1242" s="78"/>
      <c r="S1242" s="78"/>
      <c r="T1242" s="83"/>
    </row>
    <row r="1243" spans="1:20" ht="15" customHeight="1" x14ac:dyDescent="0.3">
      <c r="A1243" s="73"/>
      <c r="B1243" s="74"/>
      <c r="C1243" s="75"/>
      <c r="D1243" s="76"/>
      <c r="E1243" s="77"/>
      <c r="F1243" s="78"/>
      <c r="G1243" s="78"/>
      <c r="H1243" s="79"/>
      <c r="I1243" s="80"/>
      <c r="J1243" s="77"/>
      <c r="K1243" s="81" t="b">
        <v>0</v>
      </c>
      <c r="L1243" s="78"/>
      <c r="M1243" s="82"/>
      <c r="N1243" s="78"/>
      <c r="O1243" s="78"/>
      <c r="P1243" s="78"/>
      <c r="Q1243" s="78"/>
      <c r="R1243" s="78"/>
      <c r="S1243" s="78"/>
      <c r="T1243" s="83"/>
    </row>
    <row r="1244" spans="1:20" ht="15" customHeight="1" x14ac:dyDescent="0.3">
      <c r="A1244" s="73"/>
      <c r="B1244" s="74"/>
      <c r="C1244" s="75"/>
      <c r="D1244" s="76"/>
      <c r="E1244" s="77"/>
      <c r="F1244" s="78"/>
      <c r="G1244" s="78"/>
      <c r="H1244" s="79"/>
      <c r="I1244" s="80"/>
      <c r="J1244" s="77"/>
      <c r="K1244" s="81" t="b">
        <v>0</v>
      </c>
      <c r="L1244" s="78"/>
      <c r="M1244" s="82"/>
      <c r="N1244" s="78"/>
      <c r="O1244" s="78"/>
      <c r="P1244" s="78"/>
      <c r="Q1244" s="78"/>
      <c r="R1244" s="78"/>
      <c r="S1244" s="78"/>
      <c r="T1244" s="83"/>
    </row>
    <row r="1245" spans="1:20" ht="15" customHeight="1" x14ac:dyDescent="0.3">
      <c r="A1245" s="73"/>
      <c r="B1245" s="74"/>
      <c r="C1245" s="75"/>
      <c r="D1245" s="76"/>
      <c r="E1245" s="77"/>
      <c r="F1245" s="78"/>
      <c r="G1245" s="78"/>
      <c r="H1245" s="79"/>
      <c r="I1245" s="80"/>
      <c r="J1245" s="77"/>
      <c r="K1245" s="81" t="b">
        <v>0</v>
      </c>
      <c r="L1245" s="78"/>
      <c r="M1245" s="82"/>
      <c r="N1245" s="78"/>
      <c r="O1245" s="78"/>
      <c r="P1245" s="78"/>
      <c r="Q1245" s="78"/>
      <c r="R1245" s="78"/>
      <c r="S1245" s="78"/>
      <c r="T1245" s="83"/>
    </row>
    <row r="1246" spans="1:20" ht="15" customHeight="1" x14ac:dyDescent="0.3">
      <c r="A1246" s="73"/>
      <c r="B1246" s="74"/>
      <c r="C1246" s="75"/>
      <c r="D1246" s="76"/>
      <c r="E1246" s="77"/>
      <c r="F1246" s="78"/>
      <c r="G1246" s="78"/>
      <c r="H1246" s="79"/>
      <c r="I1246" s="80"/>
      <c r="J1246" s="77"/>
      <c r="K1246" s="81" t="b">
        <v>0</v>
      </c>
      <c r="L1246" s="78"/>
      <c r="M1246" s="82"/>
      <c r="N1246" s="78"/>
      <c r="O1246" s="78"/>
      <c r="P1246" s="78"/>
      <c r="Q1246" s="78"/>
      <c r="R1246" s="78"/>
      <c r="S1246" s="78"/>
      <c r="T1246" s="83"/>
    </row>
    <row r="1247" spans="1:20" ht="15" customHeight="1" x14ac:dyDescent="0.3">
      <c r="A1247" s="73"/>
      <c r="B1247" s="74"/>
      <c r="C1247" s="75"/>
      <c r="D1247" s="76"/>
      <c r="E1247" s="77"/>
      <c r="F1247" s="78"/>
      <c r="G1247" s="78"/>
      <c r="H1247" s="79"/>
      <c r="I1247" s="80"/>
      <c r="J1247" s="77"/>
      <c r="K1247" s="81" t="b">
        <v>0</v>
      </c>
      <c r="L1247" s="78"/>
      <c r="M1247" s="82"/>
      <c r="N1247" s="78"/>
      <c r="O1247" s="78"/>
      <c r="P1247" s="78"/>
      <c r="Q1247" s="78"/>
      <c r="R1247" s="78"/>
      <c r="S1247" s="78"/>
      <c r="T1247" s="83"/>
    </row>
    <row r="1248" spans="1:20" ht="15" customHeight="1" x14ac:dyDescent="0.3">
      <c r="A1248" s="73"/>
      <c r="B1248" s="74"/>
      <c r="C1248" s="75"/>
      <c r="D1248" s="76"/>
      <c r="E1248" s="77"/>
      <c r="F1248" s="78"/>
      <c r="G1248" s="78"/>
      <c r="H1248" s="79"/>
      <c r="I1248" s="80"/>
      <c r="J1248" s="77"/>
      <c r="K1248" s="81" t="b">
        <v>0</v>
      </c>
      <c r="L1248" s="78"/>
      <c r="M1248" s="82"/>
      <c r="N1248" s="78"/>
      <c r="O1248" s="78"/>
      <c r="P1248" s="78"/>
      <c r="Q1248" s="78"/>
      <c r="R1248" s="78"/>
      <c r="S1248" s="78"/>
      <c r="T1248" s="83"/>
    </row>
    <row r="1249" spans="1:20" ht="15" customHeight="1" x14ac:dyDescent="0.3">
      <c r="A1249" s="73"/>
      <c r="B1249" s="74"/>
      <c r="C1249" s="75"/>
      <c r="D1249" s="76"/>
      <c r="E1249" s="77"/>
      <c r="F1249" s="78"/>
      <c r="G1249" s="78"/>
      <c r="H1249" s="79"/>
      <c r="I1249" s="80"/>
      <c r="J1249" s="77"/>
      <c r="K1249" s="81" t="b">
        <v>0</v>
      </c>
      <c r="L1249" s="78"/>
      <c r="M1249" s="82"/>
      <c r="N1249" s="78"/>
      <c r="O1249" s="78"/>
      <c r="P1249" s="78"/>
      <c r="Q1249" s="78"/>
      <c r="R1249" s="78"/>
      <c r="S1249" s="78"/>
      <c r="T1249" s="83"/>
    </row>
    <row r="1250" spans="1:20" ht="15" customHeight="1" x14ac:dyDescent="0.3">
      <c r="A1250" s="73"/>
      <c r="B1250" s="74"/>
      <c r="C1250" s="75"/>
      <c r="D1250" s="76"/>
      <c r="E1250" s="77"/>
      <c r="F1250" s="78"/>
      <c r="G1250" s="78"/>
      <c r="H1250" s="79"/>
      <c r="I1250" s="80"/>
      <c r="J1250" s="77"/>
      <c r="K1250" s="81" t="b">
        <v>0</v>
      </c>
      <c r="L1250" s="78"/>
      <c r="M1250" s="82"/>
      <c r="N1250" s="78"/>
      <c r="O1250" s="78"/>
      <c r="P1250" s="78"/>
      <c r="Q1250" s="78"/>
      <c r="R1250" s="78"/>
      <c r="S1250" s="78"/>
      <c r="T1250" s="83"/>
    </row>
    <row r="1251" spans="1:20" ht="15" customHeight="1" x14ac:dyDescent="0.3">
      <c r="A1251" s="73"/>
      <c r="B1251" s="74"/>
      <c r="C1251" s="75"/>
      <c r="D1251" s="76"/>
      <c r="E1251" s="77"/>
      <c r="F1251" s="78"/>
      <c r="G1251" s="78"/>
      <c r="H1251" s="79"/>
      <c r="I1251" s="80"/>
      <c r="J1251" s="77"/>
      <c r="K1251" s="81" t="b">
        <v>0</v>
      </c>
      <c r="L1251" s="78"/>
      <c r="M1251" s="82"/>
      <c r="N1251" s="78"/>
      <c r="O1251" s="78"/>
      <c r="P1251" s="78"/>
      <c r="Q1251" s="78"/>
      <c r="R1251" s="78"/>
      <c r="S1251" s="78"/>
      <c r="T1251" s="83"/>
    </row>
    <row r="1252" spans="1:20" ht="15" customHeight="1" x14ac:dyDescent="0.3">
      <c r="A1252" s="73"/>
      <c r="B1252" s="74"/>
      <c r="C1252" s="75"/>
      <c r="D1252" s="76"/>
      <c r="E1252" s="77"/>
      <c r="F1252" s="78"/>
      <c r="G1252" s="78"/>
      <c r="H1252" s="79"/>
      <c r="I1252" s="80"/>
      <c r="J1252" s="77"/>
      <c r="K1252" s="81" t="b">
        <v>0</v>
      </c>
      <c r="L1252" s="78"/>
      <c r="M1252" s="82"/>
      <c r="N1252" s="78"/>
      <c r="O1252" s="78"/>
      <c r="P1252" s="78"/>
      <c r="Q1252" s="78"/>
      <c r="R1252" s="78"/>
      <c r="S1252" s="78"/>
      <c r="T1252" s="83"/>
    </row>
    <row r="1253" spans="1:20" ht="15" customHeight="1" x14ac:dyDescent="0.3">
      <c r="A1253" s="73"/>
      <c r="B1253" s="74"/>
      <c r="C1253" s="75"/>
      <c r="D1253" s="76"/>
      <c r="E1253" s="77"/>
      <c r="F1253" s="78"/>
      <c r="G1253" s="78"/>
      <c r="H1253" s="79"/>
      <c r="I1253" s="80"/>
      <c r="J1253" s="77"/>
      <c r="K1253" s="81" t="b">
        <v>0</v>
      </c>
      <c r="L1253" s="78"/>
      <c r="M1253" s="82"/>
      <c r="N1253" s="78"/>
      <c r="O1253" s="78"/>
      <c r="P1253" s="78"/>
      <c r="Q1253" s="78"/>
      <c r="R1253" s="78"/>
      <c r="S1253" s="78"/>
      <c r="T1253" s="83"/>
    </row>
    <row r="1254" spans="1:20" ht="15" customHeight="1" x14ac:dyDescent="0.3">
      <c r="A1254" s="73"/>
      <c r="B1254" s="74"/>
      <c r="C1254" s="75"/>
      <c r="D1254" s="76"/>
      <c r="E1254" s="77"/>
      <c r="F1254" s="78"/>
      <c r="G1254" s="78"/>
      <c r="H1254" s="79"/>
      <c r="I1254" s="80"/>
      <c r="J1254" s="77"/>
      <c r="K1254" s="81" t="b">
        <v>0</v>
      </c>
      <c r="L1254" s="78"/>
      <c r="M1254" s="82"/>
      <c r="N1254" s="78"/>
      <c r="O1254" s="78"/>
      <c r="P1254" s="78"/>
      <c r="Q1254" s="78"/>
      <c r="R1254" s="78"/>
      <c r="S1254" s="78"/>
      <c r="T1254" s="83"/>
    </row>
    <row r="1255" spans="1:20" ht="15" customHeight="1" x14ac:dyDescent="0.3">
      <c r="A1255" s="73"/>
      <c r="B1255" s="74"/>
      <c r="C1255" s="75"/>
      <c r="D1255" s="76"/>
      <c r="E1255" s="77"/>
      <c r="F1255" s="78"/>
      <c r="G1255" s="78"/>
      <c r="H1255" s="79"/>
      <c r="I1255" s="80"/>
      <c r="J1255" s="77"/>
      <c r="K1255" s="81" t="b">
        <v>0</v>
      </c>
      <c r="L1255" s="78"/>
      <c r="M1255" s="82"/>
      <c r="N1255" s="78"/>
      <c r="O1255" s="78"/>
      <c r="P1255" s="78"/>
      <c r="Q1255" s="78"/>
      <c r="R1255" s="78"/>
      <c r="S1255" s="78"/>
      <c r="T1255" s="83"/>
    </row>
    <row r="1256" spans="1:20" ht="15" customHeight="1" x14ac:dyDescent="0.3">
      <c r="A1256" s="73"/>
      <c r="B1256" s="74"/>
      <c r="C1256" s="75"/>
      <c r="D1256" s="76"/>
      <c r="E1256" s="77"/>
      <c r="F1256" s="78"/>
      <c r="G1256" s="78"/>
      <c r="H1256" s="79"/>
      <c r="I1256" s="80"/>
      <c r="J1256" s="77"/>
      <c r="K1256" s="81" t="b">
        <v>0</v>
      </c>
      <c r="L1256" s="78"/>
      <c r="M1256" s="82"/>
      <c r="N1256" s="78"/>
      <c r="O1256" s="78"/>
      <c r="P1256" s="78"/>
      <c r="Q1256" s="78"/>
      <c r="R1256" s="78"/>
      <c r="S1256" s="78"/>
      <c r="T1256" s="83"/>
    </row>
    <row r="1257" spans="1:20" ht="15" customHeight="1" x14ac:dyDescent="0.3">
      <c r="A1257" s="73"/>
      <c r="B1257" s="74"/>
      <c r="C1257" s="75"/>
      <c r="D1257" s="76"/>
      <c r="E1257" s="77"/>
      <c r="F1257" s="78"/>
      <c r="G1257" s="78"/>
      <c r="H1257" s="79"/>
      <c r="I1257" s="80"/>
      <c r="J1257" s="77"/>
      <c r="K1257" s="81" t="b">
        <v>0</v>
      </c>
      <c r="L1257" s="78"/>
      <c r="M1257" s="82"/>
      <c r="N1257" s="78"/>
      <c r="O1257" s="78"/>
      <c r="P1257" s="78"/>
      <c r="Q1257" s="78"/>
      <c r="R1257" s="78"/>
      <c r="S1257" s="78"/>
      <c r="T1257" s="83"/>
    </row>
    <row r="1258" spans="1:20" ht="15" customHeight="1" x14ac:dyDescent="0.3">
      <c r="A1258" s="73"/>
      <c r="B1258" s="74"/>
      <c r="C1258" s="75"/>
      <c r="D1258" s="76"/>
      <c r="E1258" s="77"/>
      <c r="F1258" s="78"/>
      <c r="G1258" s="78"/>
      <c r="H1258" s="79"/>
      <c r="I1258" s="80"/>
      <c r="J1258" s="77"/>
      <c r="K1258" s="81" t="b">
        <v>0</v>
      </c>
      <c r="L1258" s="78"/>
      <c r="M1258" s="82"/>
      <c r="N1258" s="78"/>
      <c r="O1258" s="78"/>
      <c r="P1258" s="78"/>
      <c r="Q1258" s="78"/>
      <c r="R1258" s="78"/>
      <c r="S1258" s="78"/>
      <c r="T1258" s="83"/>
    </row>
    <row r="1259" spans="1:20" ht="15" customHeight="1" x14ac:dyDescent="0.3">
      <c r="A1259" s="73"/>
      <c r="B1259" s="74"/>
      <c r="C1259" s="75"/>
      <c r="D1259" s="76"/>
      <c r="E1259" s="77"/>
      <c r="F1259" s="78"/>
      <c r="G1259" s="78"/>
      <c r="H1259" s="79"/>
      <c r="I1259" s="80"/>
      <c r="J1259" s="77"/>
      <c r="K1259" s="81" t="b">
        <v>0</v>
      </c>
      <c r="L1259" s="78"/>
      <c r="M1259" s="82"/>
      <c r="N1259" s="78"/>
      <c r="O1259" s="78"/>
      <c r="P1259" s="78"/>
      <c r="Q1259" s="78"/>
      <c r="R1259" s="78"/>
      <c r="S1259" s="78"/>
      <c r="T1259" s="83"/>
    </row>
    <row r="1260" spans="1:20" ht="15" customHeight="1" x14ac:dyDescent="0.3">
      <c r="A1260" s="73"/>
      <c r="B1260" s="74"/>
      <c r="C1260" s="75"/>
      <c r="D1260" s="76"/>
      <c r="E1260" s="77"/>
      <c r="F1260" s="78"/>
      <c r="G1260" s="78"/>
      <c r="H1260" s="79"/>
      <c r="I1260" s="80"/>
      <c r="J1260" s="77"/>
      <c r="K1260" s="81" t="b">
        <v>0</v>
      </c>
      <c r="L1260" s="78"/>
      <c r="M1260" s="82"/>
      <c r="N1260" s="78"/>
      <c r="O1260" s="78"/>
      <c r="P1260" s="78"/>
      <c r="Q1260" s="78"/>
      <c r="R1260" s="78"/>
      <c r="S1260" s="78"/>
      <c r="T1260" s="83"/>
    </row>
    <row r="1261" spans="1:20" ht="15" customHeight="1" x14ac:dyDescent="0.3">
      <c r="A1261" s="73"/>
      <c r="B1261" s="74"/>
      <c r="C1261" s="75"/>
      <c r="D1261" s="76"/>
      <c r="E1261" s="77"/>
      <c r="F1261" s="78"/>
      <c r="G1261" s="78"/>
      <c r="H1261" s="79"/>
      <c r="I1261" s="80"/>
      <c r="J1261" s="77"/>
      <c r="K1261" s="81" t="b">
        <v>0</v>
      </c>
      <c r="L1261" s="78"/>
      <c r="M1261" s="82"/>
      <c r="N1261" s="78"/>
      <c r="O1261" s="78"/>
      <c r="P1261" s="78"/>
      <c r="Q1261" s="78"/>
      <c r="R1261" s="78"/>
      <c r="S1261" s="78"/>
      <c r="T1261" s="83"/>
    </row>
    <row r="1262" spans="1:20" ht="15" customHeight="1" x14ac:dyDescent="0.3">
      <c r="A1262" s="73"/>
      <c r="B1262" s="74"/>
      <c r="C1262" s="75"/>
      <c r="D1262" s="76"/>
      <c r="E1262" s="77"/>
      <c r="F1262" s="78"/>
      <c r="G1262" s="78"/>
      <c r="H1262" s="79"/>
      <c r="I1262" s="80"/>
      <c r="J1262" s="77"/>
      <c r="K1262" s="81" t="b">
        <v>0</v>
      </c>
      <c r="L1262" s="78"/>
      <c r="M1262" s="82"/>
      <c r="N1262" s="78"/>
      <c r="O1262" s="78"/>
      <c r="P1262" s="78"/>
      <c r="Q1262" s="78"/>
      <c r="R1262" s="78"/>
      <c r="S1262" s="78"/>
      <c r="T1262" s="83"/>
    </row>
    <row r="1263" spans="1:20" ht="15" customHeight="1" x14ac:dyDescent="0.3">
      <c r="A1263" s="73"/>
      <c r="B1263" s="74"/>
      <c r="C1263" s="75"/>
      <c r="D1263" s="76"/>
      <c r="E1263" s="77"/>
      <c r="F1263" s="78"/>
      <c r="G1263" s="78"/>
      <c r="H1263" s="79"/>
      <c r="I1263" s="80"/>
      <c r="J1263" s="77"/>
      <c r="K1263" s="81" t="b">
        <v>0</v>
      </c>
      <c r="L1263" s="78"/>
      <c r="M1263" s="82"/>
      <c r="N1263" s="78"/>
      <c r="O1263" s="78"/>
      <c r="P1263" s="78"/>
      <c r="Q1263" s="78"/>
      <c r="R1263" s="78"/>
      <c r="S1263" s="78"/>
      <c r="T1263" s="83"/>
    </row>
    <row r="1264" spans="1:20" ht="15" customHeight="1" x14ac:dyDescent="0.3">
      <c r="A1264" s="73"/>
      <c r="B1264" s="74"/>
      <c r="C1264" s="75"/>
      <c r="D1264" s="76"/>
      <c r="E1264" s="77"/>
      <c r="F1264" s="78"/>
      <c r="G1264" s="78"/>
      <c r="H1264" s="79"/>
      <c r="I1264" s="80"/>
      <c r="J1264" s="77"/>
      <c r="K1264" s="81" t="b">
        <v>0</v>
      </c>
      <c r="L1264" s="78"/>
      <c r="M1264" s="82"/>
      <c r="N1264" s="78"/>
      <c r="O1264" s="78"/>
      <c r="P1264" s="78"/>
      <c r="Q1264" s="78"/>
      <c r="R1264" s="78"/>
      <c r="S1264" s="78"/>
      <c r="T1264" s="83"/>
    </row>
    <row r="1265" spans="1:20" ht="15" customHeight="1" x14ac:dyDescent="0.3">
      <c r="A1265" s="73"/>
      <c r="B1265" s="74"/>
      <c r="C1265" s="75"/>
      <c r="D1265" s="76"/>
      <c r="E1265" s="77"/>
      <c r="F1265" s="78"/>
      <c r="G1265" s="78"/>
      <c r="H1265" s="79"/>
      <c r="I1265" s="80"/>
      <c r="J1265" s="77"/>
      <c r="K1265" s="81" t="b">
        <v>0</v>
      </c>
      <c r="L1265" s="78"/>
      <c r="M1265" s="82"/>
      <c r="N1265" s="78"/>
      <c r="O1265" s="78"/>
      <c r="P1265" s="78"/>
      <c r="Q1265" s="78"/>
      <c r="R1265" s="78"/>
      <c r="S1265" s="78"/>
      <c r="T1265" s="83"/>
    </row>
    <row r="1266" spans="1:20" ht="15" customHeight="1" x14ac:dyDescent="0.3">
      <c r="A1266" s="73"/>
      <c r="B1266" s="74"/>
      <c r="C1266" s="75"/>
      <c r="D1266" s="76"/>
      <c r="E1266" s="77"/>
      <c r="F1266" s="78"/>
      <c r="G1266" s="78"/>
      <c r="H1266" s="79"/>
      <c r="I1266" s="80"/>
      <c r="J1266" s="77"/>
      <c r="K1266" s="81" t="b">
        <v>0</v>
      </c>
      <c r="L1266" s="78"/>
      <c r="M1266" s="82"/>
      <c r="N1266" s="78"/>
      <c r="O1266" s="78"/>
      <c r="P1266" s="78"/>
      <c r="Q1266" s="78"/>
      <c r="R1266" s="78"/>
      <c r="S1266" s="78"/>
      <c r="T1266" s="83"/>
    </row>
    <row r="1267" spans="1:20" ht="15" customHeight="1" x14ac:dyDescent="0.3">
      <c r="A1267" s="73"/>
      <c r="B1267" s="74"/>
      <c r="C1267" s="75"/>
      <c r="D1267" s="76"/>
      <c r="E1267" s="77"/>
      <c r="F1267" s="78"/>
      <c r="G1267" s="78"/>
      <c r="H1267" s="79"/>
      <c r="I1267" s="80"/>
      <c r="J1267" s="77"/>
      <c r="K1267" s="81" t="b">
        <v>0</v>
      </c>
      <c r="L1267" s="78"/>
      <c r="M1267" s="82"/>
      <c r="N1267" s="78"/>
      <c r="O1267" s="78"/>
      <c r="P1267" s="78"/>
      <c r="Q1267" s="78"/>
      <c r="R1267" s="78"/>
      <c r="S1267" s="78"/>
      <c r="T1267" s="83"/>
    </row>
    <row r="1268" spans="1:20" ht="15" customHeight="1" x14ac:dyDescent="0.3">
      <c r="A1268" s="73"/>
      <c r="B1268" s="74"/>
      <c r="C1268" s="75"/>
      <c r="D1268" s="76"/>
      <c r="E1268" s="77"/>
      <c r="F1268" s="78"/>
      <c r="G1268" s="78"/>
      <c r="H1268" s="79"/>
      <c r="I1268" s="80"/>
      <c r="J1268" s="77"/>
      <c r="K1268" s="81" t="b">
        <v>0</v>
      </c>
      <c r="L1268" s="78"/>
      <c r="M1268" s="82"/>
      <c r="N1268" s="78"/>
      <c r="O1268" s="78"/>
      <c r="P1268" s="78"/>
      <c r="Q1268" s="78"/>
      <c r="R1268" s="78"/>
      <c r="S1268" s="78"/>
      <c r="T1268" s="83"/>
    </row>
    <row r="1269" spans="1:20" ht="15" customHeight="1" x14ac:dyDescent="0.3">
      <c r="A1269" s="73"/>
      <c r="B1269" s="74"/>
      <c r="C1269" s="75"/>
      <c r="D1269" s="76"/>
      <c r="E1269" s="77"/>
      <c r="F1269" s="78"/>
      <c r="G1269" s="78"/>
      <c r="H1269" s="79"/>
      <c r="I1269" s="80"/>
      <c r="J1269" s="77"/>
      <c r="K1269" s="81" t="b">
        <v>0</v>
      </c>
      <c r="L1269" s="78"/>
      <c r="M1269" s="82"/>
      <c r="N1269" s="78"/>
      <c r="O1269" s="78"/>
      <c r="P1269" s="78"/>
      <c r="Q1269" s="78"/>
      <c r="R1269" s="78"/>
      <c r="S1269" s="78"/>
      <c r="T1269" s="83"/>
    </row>
    <row r="1270" spans="1:20" ht="15" customHeight="1" x14ac:dyDescent="0.3">
      <c r="A1270" s="73"/>
      <c r="B1270" s="74"/>
      <c r="C1270" s="75"/>
      <c r="D1270" s="76"/>
      <c r="E1270" s="77"/>
      <c r="F1270" s="78"/>
      <c r="G1270" s="78"/>
      <c r="H1270" s="79"/>
      <c r="I1270" s="80"/>
      <c r="J1270" s="77"/>
      <c r="K1270" s="81" t="b">
        <v>0</v>
      </c>
      <c r="L1270" s="78"/>
      <c r="M1270" s="82"/>
      <c r="N1270" s="78"/>
      <c r="O1270" s="78"/>
      <c r="P1270" s="78"/>
      <c r="Q1270" s="78"/>
      <c r="R1270" s="78"/>
      <c r="S1270" s="78"/>
      <c r="T1270" s="83"/>
    </row>
    <row r="1271" spans="1:20" ht="15" customHeight="1" x14ac:dyDescent="0.3">
      <c r="A1271" s="73"/>
      <c r="B1271" s="74"/>
      <c r="C1271" s="75"/>
      <c r="D1271" s="76"/>
      <c r="E1271" s="77"/>
      <c r="F1271" s="78"/>
      <c r="G1271" s="78"/>
      <c r="H1271" s="79"/>
      <c r="I1271" s="80"/>
      <c r="J1271" s="77"/>
      <c r="K1271" s="81" t="b">
        <v>0</v>
      </c>
      <c r="L1271" s="78"/>
      <c r="M1271" s="82"/>
      <c r="N1271" s="78"/>
      <c r="O1271" s="78"/>
      <c r="P1271" s="78"/>
      <c r="Q1271" s="78"/>
      <c r="R1271" s="78"/>
      <c r="S1271" s="78"/>
      <c r="T1271" s="83"/>
    </row>
    <row r="1272" spans="1:20" ht="15" customHeight="1" x14ac:dyDescent="0.3">
      <c r="A1272" s="73"/>
      <c r="B1272" s="74"/>
      <c r="C1272" s="75"/>
      <c r="D1272" s="76"/>
      <c r="E1272" s="77"/>
      <c r="F1272" s="78"/>
      <c r="G1272" s="78"/>
      <c r="H1272" s="79"/>
      <c r="I1272" s="80"/>
      <c r="J1272" s="77"/>
      <c r="K1272" s="81" t="b">
        <v>0</v>
      </c>
      <c r="L1272" s="78"/>
      <c r="M1272" s="82"/>
      <c r="N1272" s="78"/>
      <c r="O1272" s="78"/>
      <c r="P1272" s="78"/>
      <c r="Q1272" s="78"/>
      <c r="R1272" s="78"/>
      <c r="S1272" s="78"/>
      <c r="T1272" s="83"/>
    </row>
    <row r="1273" spans="1:20" ht="15" customHeight="1" x14ac:dyDescent="0.3">
      <c r="A1273" s="73"/>
      <c r="B1273" s="74"/>
      <c r="C1273" s="75"/>
      <c r="D1273" s="76"/>
      <c r="E1273" s="77"/>
      <c r="F1273" s="78"/>
      <c r="G1273" s="78"/>
      <c r="H1273" s="79"/>
      <c r="I1273" s="80"/>
      <c r="J1273" s="77"/>
      <c r="K1273" s="81" t="b">
        <v>0</v>
      </c>
      <c r="L1273" s="78"/>
      <c r="M1273" s="82"/>
      <c r="N1273" s="78"/>
      <c r="O1273" s="78"/>
      <c r="P1273" s="78"/>
      <c r="Q1273" s="78"/>
      <c r="R1273" s="78"/>
      <c r="S1273" s="78"/>
      <c r="T1273" s="83"/>
    </row>
    <row r="1274" spans="1:20" ht="15" customHeight="1" x14ac:dyDescent="0.3">
      <c r="A1274" s="73"/>
      <c r="B1274" s="74"/>
      <c r="C1274" s="75"/>
      <c r="D1274" s="76"/>
      <c r="E1274" s="77"/>
      <c r="F1274" s="78"/>
      <c r="G1274" s="78"/>
      <c r="H1274" s="79"/>
      <c r="I1274" s="80"/>
      <c r="J1274" s="77"/>
      <c r="K1274" s="81" t="b">
        <v>0</v>
      </c>
      <c r="L1274" s="78"/>
      <c r="M1274" s="82"/>
      <c r="N1274" s="78"/>
      <c r="O1274" s="78"/>
      <c r="P1274" s="78"/>
      <c r="Q1274" s="78"/>
      <c r="R1274" s="78"/>
      <c r="S1274" s="78"/>
      <c r="T1274" s="83"/>
    </row>
    <row r="1275" spans="1:20" ht="15" customHeight="1" x14ac:dyDescent="0.3">
      <c r="A1275" s="73"/>
      <c r="B1275" s="74"/>
      <c r="C1275" s="75"/>
      <c r="D1275" s="76"/>
      <c r="E1275" s="77"/>
      <c r="F1275" s="78"/>
      <c r="G1275" s="78"/>
      <c r="H1275" s="79"/>
      <c r="I1275" s="80"/>
      <c r="J1275" s="77"/>
      <c r="K1275" s="81" t="b">
        <v>0</v>
      </c>
      <c r="L1275" s="78"/>
      <c r="M1275" s="82"/>
      <c r="N1275" s="78"/>
      <c r="O1275" s="78"/>
      <c r="P1275" s="78"/>
      <c r="Q1275" s="78"/>
      <c r="R1275" s="78"/>
      <c r="S1275" s="78"/>
      <c r="T1275" s="83"/>
    </row>
    <row r="1276" spans="1:20" ht="15" customHeight="1" x14ac:dyDescent="0.3">
      <c r="A1276" s="73"/>
      <c r="B1276" s="74"/>
      <c r="C1276" s="75"/>
      <c r="D1276" s="76"/>
      <c r="E1276" s="77"/>
      <c r="F1276" s="78"/>
      <c r="G1276" s="78"/>
      <c r="H1276" s="79"/>
      <c r="I1276" s="80"/>
      <c r="J1276" s="77"/>
      <c r="K1276" s="81" t="b">
        <v>0</v>
      </c>
      <c r="L1276" s="78"/>
      <c r="M1276" s="82"/>
      <c r="N1276" s="78"/>
      <c r="O1276" s="78"/>
      <c r="P1276" s="78"/>
      <c r="Q1276" s="78"/>
      <c r="R1276" s="78"/>
      <c r="S1276" s="78"/>
      <c r="T1276" s="83"/>
    </row>
    <row r="1277" spans="1:20" ht="15" customHeight="1" x14ac:dyDescent="0.3">
      <c r="A1277" s="73"/>
      <c r="B1277" s="74"/>
      <c r="C1277" s="75"/>
      <c r="D1277" s="76"/>
      <c r="E1277" s="77"/>
      <c r="F1277" s="78"/>
      <c r="G1277" s="78"/>
      <c r="H1277" s="79"/>
      <c r="I1277" s="80"/>
      <c r="J1277" s="77"/>
      <c r="K1277" s="81" t="b">
        <v>0</v>
      </c>
      <c r="L1277" s="78"/>
      <c r="M1277" s="82"/>
      <c r="N1277" s="78"/>
      <c r="O1277" s="78"/>
      <c r="P1277" s="78"/>
      <c r="Q1277" s="78"/>
      <c r="R1277" s="78"/>
      <c r="S1277" s="78"/>
      <c r="T1277" s="83"/>
    </row>
    <row r="1278" spans="1:20" ht="15" customHeight="1" x14ac:dyDescent="0.3">
      <c r="A1278" s="73"/>
      <c r="B1278" s="74"/>
      <c r="C1278" s="75"/>
      <c r="D1278" s="76"/>
      <c r="E1278" s="77"/>
      <c r="F1278" s="78"/>
      <c r="G1278" s="78"/>
      <c r="H1278" s="79"/>
      <c r="I1278" s="80"/>
      <c r="J1278" s="77"/>
      <c r="K1278" s="81" t="b">
        <v>0</v>
      </c>
      <c r="L1278" s="78"/>
      <c r="M1278" s="82"/>
      <c r="N1278" s="78"/>
      <c r="O1278" s="78"/>
      <c r="P1278" s="78"/>
      <c r="Q1278" s="78"/>
      <c r="R1278" s="78"/>
      <c r="S1278" s="78"/>
      <c r="T1278" s="83"/>
    </row>
    <row r="1279" spans="1:20" ht="15" customHeight="1" x14ac:dyDescent="0.3">
      <c r="A1279" s="73"/>
      <c r="B1279" s="74"/>
      <c r="C1279" s="75"/>
      <c r="D1279" s="76"/>
      <c r="E1279" s="77"/>
      <c r="F1279" s="78"/>
      <c r="G1279" s="78"/>
      <c r="H1279" s="79"/>
      <c r="I1279" s="80"/>
      <c r="J1279" s="77"/>
      <c r="K1279" s="81" t="b">
        <v>0</v>
      </c>
      <c r="L1279" s="78"/>
      <c r="M1279" s="82"/>
      <c r="N1279" s="78"/>
      <c r="O1279" s="78"/>
      <c r="P1279" s="78"/>
      <c r="Q1279" s="78"/>
      <c r="R1279" s="78"/>
      <c r="S1279" s="78"/>
      <c r="T1279" s="83"/>
    </row>
    <row r="1280" spans="1:20" ht="15" customHeight="1" x14ac:dyDescent="0.3">
      <c r="A1280" s="73"/>
      <c r="B1280" s="74"/>
      <c r="C1280" s="75"/>
      <c r="D1280" s="76"/>
      <c r="E1280" s="77"/>
      <c r="F1280" s="78"/>
      <c r="G1280" s="78"/>
      <c r="H1280" s="79"/>
      <c r="I1280" s="80"/>
      <c r="J1280" s="77"/>
      <c r="K1280" s="81" t="b">
        <v>0</v>
      </c>
      <c r="L1280" s="78"/>
      <c r="M1280" s="82"/>
      <c r="N1280" s="78"/>
      <c r="O1280" s="78"/>
      <c r="P1280" s="78"/>
      <c r="Q1280" s="78"/>
      <c r="R1280" s="78"/>
      <c r="S1280" s="78"/>
      <c r="T1280" s="83"/>
    </row>
    <row r="1281" spans="1:20" ht="15" customHeight="1" x14ac:dyDescent="0.3">
      <c r="A1281" s="73"/>
      <c r="B1281" s="74"/>
      <c r="C1281" s="75"/>
      <c r="D1281" s="76"/>
      <c r="E1281" s="77"/>
      <c r="F1281" s="78"/>
      <c r="G1281" s="78"/>
      <c r="H1281" s="79"/>
      <c r="I1281" s="80"/>
      <c r="J1281" s="77"/>
      <c r="K1281" s="81" t="b">
        <v>0</v>
      </c>
      <c r="L1281" s="78"/>
      <c r="M1281" s="82"/>
      <c r="N1281" s="78"/>
      <c r="O1281" s="78"/>
      <c r="P1281" s="78"/>
      <c r="Q1281" s="78"/>
      <c r="R1281" s="78"/>
      <c r="S1281" s="78"/>
      <c r="T1281" s="83"/>
    </row>
    <row r="1282" spans="1:20" ht="15" customHeight="1" x14ac:dyDescent="0.3">
      <c r="A1282" s="73"/>
      <c r="B1282" s="74"/>
      <c r="C1282" s="75"/>
      <c r="D1282" s="76"/>
      <c r="E1282" s="77"/>
      <c r="F1282" s="78"/>
      <c r="G1282" s="78"/>
      <c r="H1282" s="79"/>
      <c r="I1282" s="80"/>
      <c r="J1282" s="77"/>
      <c r="K1282" s="81" t="b">
        <v>0</v>
      </c>
      <c r="L1282" s="78"/>
      <c r="M1282" s="82"/>
      <c r="N1282" s="78"/>
      <c r="O1282" s="78"/>
      <c r="P1282" s="78"/>
      <c r="Q1282" s="78"/>
      <c r="R1282" s="78"/>
      <c r="S1282" s="78"/>
      <c r="T1282" s="83"/>
    </row>
    <row r="1283" spans="1:20" ht="15" customHeight="1" x14ac:dyDescent="0.3">
      <c r="A1283" s="73"/>
      <c r="B1283" s="74"/>
      <c r="C1283" s="75"/>
      <c r="D1283" s="76"/>
      <c r="E1283" s="77"/>
      <c r="F1283" s="78"/>
      <c r="G1283" s="78"/>
      <c r="H1283" s="79"/>
      <c r="I1283" s="80"/>
      <c r="J1283" s="77"/>
      <c r="K1283" s="81" t="b">
        <v>0</v>
      </c>
      <c r="L1283" s="78"/>
      <c r="M1283" s="82"/>
      <c r="N1283" s="78"/>
      <c r="O1283" s="78"/>
      <c r="P1283" s="78"/>
      <c r="Q1283" s="78"/>
      <c r="R1283" s="78"/>
      <c r="S1283" s="78"/>
      <c r="T1283" s="83"/>
    </row>
    <row r="1284" spans="1:20" ht="15" customHeight="1" x14ac:dyDescent="0.3">
      <c r="A1284" s="73"/>
      <c r="B1284" s="74"/>
      <c r="C1284" s="75"/>
      <c r="D1284" s="76"/>
      <c r="E1284" s="77"/>
      <c r="F1284" s="78"/>
      <c r="G1284" s="78"/>
      <c r="H1284" s="79"/>
      <c r="I1284" s="80"/>
      <c r="J1284" s="77"/>
      <c r="K1284" s="81" t="b">
        <v>0</v>
      </c>
      <c r="L1284" s="78"/>
      <c r="M1284" s="82"/>
      <c r="N1284" s="78"/>
      <c r="O1284" s="78"/>
      <c r="P1284" s="78"/>
      <c r="Q1284" s="78"/>
      <c r="R1284" s="78"/>
      <c r="S1284" s="78"/>
      <c r="T1284" s="83"/>
    </row>
    <row r="1285" spans="1:20" ht="15" customHeight="1" x14ac:dyDescent="0.3">
      <c r="A1285" s="73"/>
      <c r="B1285" s="74"/>
      <c r="C1285" s="75"/>
      <c r="D1285" s="76"/>
      <c r="E1285" s="77"/>
      <c r="F1285" s="78"/>
      <c r="G1285" s="78"/>
      <c r="H1285" s="79"/>
      <c r="I1285" s="80"/>
      <c r="J1285" s="77"/>
      <c r="K1285" s="81" t="b">
        <v>0</v>
      </c>
      <c r="L1285" s="78"/>
      <c r="M1285" s="82"/>
      <c r="N1285" s="78"/>
      <c r="O1285" s="78"/>
      <c r="P1285" s="78"/>
      <c r="Q1285" s="78"/>
      <c r="R1285" s="78"/>
      <c r="S1285" s="78"/>
      <c r="T1285" s="83"/>
    </row>
    <row r="1286" spans="1:20" ht="15" customHeight="1" x14ac:dyDescent="0.3">
      <c r="A1286" s="73"/>
      <c r="B1286" s="74"/>
      <c r="C1286" s="75"/>
      <c r="D1286" s="76"/>
      <c r="E1286" s="77"/>
      <c r="F1286" s="78"/>
      <c r="G1286" s="78"/>
      <c r="H1286" s="79"/>
      <c r="I1286" s="80"/>
      <c r="J1286" s="77"/>
      <c r="K1286" s="81" t="b">
        <v>0</v>
      </c>
      <c r="L1286" s="78"/>
      <c r="M1286" s="82"/>
      <c r="N1286" s="78"/>
      <c r="O1286" s="78"/>
      <c r="P1286" s="78"/>
      <c r="Q1286" s="78"/>
      <c r="R1286" s="78"/>
      <c r="S1286" s="78"/>
      <c r="T1286" s="83"/>
    </row>
    <row r="1287" spans="1:20" ht="15" customHeight="1" x14ac:dyDescent="0.3">
      <c r="A1287" s="73"/>
      <c r="B1287" s="74"/>
      <c r="C1287" s="75"/>
      <c r="D1287" s="76"/>
      <c r="E1287" s="77"/>
      <c r="F1287" s="78"/>
      <c r="G1287" s="78"/>
      <c r="H1287" s="79"/>
      <c r="I1287" s="80"/>
      <c r="J1287" s="77"/>
      <c r="K1287" s="81" t="b">
        <v>0</v>
      </c>
      <c r="L1287" s="78"/>
      <c r="M1287" s="82"/>
      <c r="N1287" s="78"/>
      <c r="O1287" s="78"/>
      <c r="P1287" s="78"/>
      <c r="Q1287" s="78"/>
      <c r="R1287" s="78"/>
      <c r="S1287" s="78"/>
      <c r="T1287" s="83"/>
    </row>
    <row r="1288" spans="1:20" ht="15" customHeight="1" x14ac:dyDescent="0.3">
      <c r="A1288" s="73"/>
      <c r="B1288" s="74"/>
      <c r="C1288" s="75"/>
      <c r="D1288" s="76"/>
      <c r="E1288" s="77"/>
      <c r="F1288" s="78"/>
      <c r="G1288" s="78"/>
      <c r="H1288" s="79"/>
      <c r="I1288" s="80"/>
      <c r="J1288" s="77"/>
      <c r="K1288" s="81" t="b">
        <v>0</v>
      </c>
      <c r="L1288" s="78"/>
      <c r="M1288" s="82"/>
      <c r="N1288" s="78"/>
      <c r="O1288" s="78"/>
      <c r="P1288" s="78"/>
      <c r="Q1288" s="78"/>
      <c r="R1288" s="78"/>
      <c r="S1288" s="78"/>
      <c r="T1288" s="83"/>
    </row>
    <row r="1289" spans="1:20" ht="15" customHeight="1" x14ac:dyDescent="0.3">
      <c r="A1289" s="73"/>
      <c r="B1289" s="74"/>
      <c r="C1289" s="75"/>
      <c r="D1289" s="76"/>
      <c r="E1289" s="77"/>
      <c r="F1289" s="78"/>
      <c r="G1289" s="78"/>
      <c r="H1289" s="79"/>
      <c r="I1289" s="80"/>
      <c r="J1289" s="77"/>
      <c r="K1289" s="81" t="b">
        <v>0</v>
      </c>
      <c r="L1289" s="78"/>
      <c r="M1289" s="82"/>
      <c r="N1289" s="78"/>
      <c r="O1289" s="78"/>
      <c r="P1289" s="78"/>
      <c r="Q1289" s="78"/>
      <c r="R1289" s="78"/>
      <c r="S1289" s="78"/>
      <c r="T1289" s="83"/>
    </row>
    <row r="1290" spans="1:20" ht="15" customHeight="1" x14ac:dyDescent="0.3">
      <c r="A1290" s="73"/>
      <c r="B1290" s="74"/>
      <c r="C1290" s="75"/>
      <c r="D1290" s="76"/>
      <c r="E1290" s="77"/>
      <c r="F1290" s="78"/>
      <c r="G1290" s="78"/>
      <c r="H1290" s="79"/>
      <c r="I1290" s="80"/>
      <c r="J1290" s="77"/>
      <c r="K1290" s="81" t="b">
        <v>0</v>
      </c>
      <c r="L1290" s="78"/>
      <c r="M1290" s="82"/>
      <c r="N1290" s="78"/>
      <c r="O1290" s="78"/>
      <c r="P1290" s="78"/>
      <c r="Q1290" s="78"/>
      <c r="R1290" s="78"/>
      <c r="S1290" s="78"/>
      <c r="T1290" s="83"/>
    </row>
    <row r="1291" spans="1:20" ht="15" customHeight="1" x14ac:dyDescent="0.3">
      <c r="A1291" s="73"/>
      <c r="B1291" s="74"/>
      <c r="C1291" s="75"/>
      <c r="D1291" s="76"/>
      <c r="E1291" s="77"/>
      <c r="F1291" s="78"/>
      <c r="G1291" s="78"/>
      <c r="H1291" s="79"/>
      <c r="I1291" s="80"/>
      <c r="J1291" s="77"/>
      <c r="K1291" s="81" t="b">
        <v>0</v>
      </c>
      <c r="L1291" s="78"/>
      <c r="M1291" s="82"/>
      <c r="N1291" s="78"/>
      <c r="O1291" s="78"/>
      <c r="P1291" s="78"/>
      <c r="Q1291" s="78"/>
      <c r="R1291" s="78"/>
      <c r="S1291" s="78"/>
      <c r="T1291" s="83"/>
    </row>
    <row r="1292" spans="1:20" ht="15" customHeight="1" x14ac:dyDescent="0.3">
      <c r="A1292" s="73"/>
      <c r="B1292" s="74"/>
      <c r="C1292" s="75"/>
      <c r="D1292" s="76"/>
      <c r="E1292" s="77"/>
      <c r="F1292" s="78"/>
      <c r="G1292" s="78"/>
      <c r="H1292" s="79"/>
      <c r="I1292" s="80"/>
      <c r="J1292" s="77"/>
      <c r="K1292" s="81" t="b">
        <v>0</v>
      </c>
      <c r="L1292" s="78"/>
      <c r="M1292" s="82"/>
      <c r="N1292" s="78"/>
      <c r="O1292" s="78"/>
      <c r="P1292" s="78"/>
      <c r="Q1292" s="78"/>
      <c r="R1292" s="78"/>
      <c r="S1292" s="78"/>
      <c r="T1292" s="83"/>
    </row>
    <row r="1293" spans="1:20" ht="15" customHeight="1" x14ac:dyDescent="0.3">
      <c r="A1293" s="73"/>
      <c r="B1293" s="74"/>
      <c r="C1293" s="75"/>
      <c r="D1293" s="76"/>
      <c r="E1293" s="77"/>
      <c r="F1293" s="78"/>
      <c r="G1293" s="78"/>
      <c r="H1293" s="79"/>
      <c r="I1293" s="80"/>
      <c r="J1293" s="77"/>
      <c r="K1293" s="81" t="b">
        <v>0</v>
      </c>
      <c r="L1293" s="78"/>
      <c r="M1293" s="82"/>
      <c r="N1293" s="78"/>
      <c r="O1293" s="78"/>
      <c r="P1293" s="78"/>
      <c r="Q1293" s="78"/>
      <c r="R1293" s="78"/>
      <c r="S1293" s="78"/>
      <c r="T1293" s="83"/>
    </row>
    <row r="1294" spans="1:20" ht="15" customHeight="1" x14ac:dyDescent="0.3">
      <c r="A1294" s="73"/>
      <c r="B1294" s="74"/>
      <c r="C1294" s="75"/>
      <c r="D1294" s="76"/>
      <c r="E1294" s="77"/>
      <c r="F1294" s="78"/>
      <c r="G1294" s="78"/>
      <c r="H1294" s="79"/>
      <c r="I1294" s="80"/>
      <c r="J1294" s="77"/>
      <c r="K1294" s="81" t="b">
        <v>0</v>
      </c>
      <c r="L1294" s="78"/>
      <c r="M1294" s="82"/>
      <c r="N1294" s="78"/>
      <c r="O1294" s="78"/>
      <c r="P1294" s="78"/>
      <c r="Q1294" s="78"/>
      <c r="R1294" s="78"/>
      <c r="S1294" s="78"/>
      <c r="T1294" s="83"/>
    </row>
    <row r="1295" spans="1:20" ht="15" customHeight="1" x14ac:dyDescent="0.3">
      <c r="A1295" s="73"/>
      <c r="B1295" s="74"/>
      <c r="C1295" s="75"/>
      <c r="D1295" s="76"/>
      <c r="E1295" s="77"/>
      <c r="F1295" s="78"/>
      <c r="G1295" s="78"/>
      <c r="H1295" s="79"/>
      <c r="I1295" s="80"/>
      <c r="J1295" s="77"/>
      <c r="K1295" s="81" t="b">
        <v>0</v>
      </c>
      <c r="L1295" s="78"/>
      <c r="M1295" s="82"/>
      <c r="N1295" s="78"/>
      <c r="O1295" s="78"/>
      <c r="P1295" s="78"/>
      <c r="Q1295" s="78"/>
      <c r="R1295" s="78"/>
      <c r="S1295" s="78"/>
      <c r="T1295" s="83"/>
    </row>
    <row r="1296" spans="1:20" ht="15" customHeight="1" x14ac:dyDescent="0.3">
      <c r="A1296" s="73"/>
      <c r="B1296" s="74"/>
      <c r="C1296" s="75"/>
      <c r="D1296" s="76"/>
      <c r="E1296" s="77"/>
      <c r="F1296" s="78"/>
      <c r="G1296" s="78"/>
      <c r="H1296" s="79"/>
      <c r="I1296" s="80"/>
      <c r="J1296" s="77"/>
      <c r="K1296" s="81" t="b">
        <v>0</v>
      </c>
      <c r="L1296" s="78"/>
      <c r="M1296" s="82"/>
      <c r="N1296" s="78"/>
      <c r="O1296" s="78"/>
      <c r="P1296" s="78"/>
      <c r="Q1296" s="78"/>
      <c r="R1296" s="78"/>
      <c r="S1296" s="78"/>
      <c r="T1296" s="83"/>
    </row>
    <row r="1297" spans="1:20" ht="15" customHeight="1" x14ac:dyDescent="0.3">
      <c r="A1297" s="73"/>
      <c r="B1297" s="74"/>
      <c r="C1297" s="75"/>
      <c r="D1297" s="76"/>
      <c r="E1297" s="77"/>
      <c r="F1297" s="78"/>
      <c r="G1297" s="78"/>
      <c r="H1297" s="79"/>
      <c r="I1297" s="80"/>
      <c r="J1297" s="77"/>
      <c r="K1297" s="81" t="b">
        <v>0</v>
      </c>
      <c r="L1297" s="78"/>
      <c r="M1297" s="82"/>
      <c r="N1297" s="78"/>
      <c r="O1297" s="78"/>
      <c r="P1297" s="78"/>
      <c r="Q1297" s="78"/>
      <c r="R1297" s="78"/>
      <c r="S1297" s="78"/>
      <c r="T1297" s="83"/>
    </row>
    <row r="1298" spans="1:20" ht="15" customHeight="1" x14ac:dyDescent="0.3">
      <c r="A1298" s="73"/>
      <c r="B1298" s="74"/>
      <c r="C1298" s="75"/>
      <c r="D1298" s="76"/>
      <c r="E1298" s="77"/>
      <c r="F1298" s="78"/>
      <c r="G1298" s="78"/>
      <c r="H1298" s="79"/>
      <c r="I1298" s="80"/>
      <c r="J1298" s="77"/>
      <c r="K1298" s="81" t="b">
        <v>0</v>
      </c>
      <c r="L1298" s="78"/>
      <c r="M1298" s="82"/>
      <c r="N1298" s="78"/>
      <c r="O1298" s="78"/>
      <c r="P1298" s="78"/>
      <c r="Q1298" s="78"/>
      <c r="R1298" s="78"/>
      <c r="S1298" s="78"/>
      <c r="T1298" s="83"/>
    </row>
    <row r="1299" spans="1:20" ht="15" customHeight="1" x14ac:dyDescent="0.3">
      <c r="A1299" s="73"/>
      <c r="B1299" s="74"/>
      <c r="C1299" s="75"/>
      <c r="D1299" s="76"/>
      <c r="E1299" s="77"/>
      <c r="F1299" s="78"/>
      <c r="G1299" s="78"/>
      <c r="H1299" s="79"/>
      <c r="I1299" s="80"/>
      <c r="J1299" s="77"/>
      <c r="K1299" s="81" t="b">
        <v>0</v>
      </c>
      <c r="L1299" s="78"/>
      <c r="M1299" s="82"/>
      <c r="N1299" s="78"/>
      <c r="O1299" s="78"/>
      <c r="P1299" s="78"/>
      <c r="Q1299" s="78"/>
      <c r="R1299" s="78"/>
      <c r="S1299" s="78"/>
      <c r="T1299" s="83"/>
    </row>
    <row r="1300" spans="1:20" ht="15" customHeight="1" x14ac:dyDescent="0.3">
      <c r="A1300" s="73"/>
      <c r="B1300" s="74"/>
      <c r="C1300" s="75"/>
      <c r="D1300" s="76"/>
      <c r="E1300" s="77"/>
      <c r="F1300" s="78"/>
      <c r="G1300" s="78"/>
      <c r="H1300" s="79"/>
      <c r="I1300" s="80"/>
      <c r="J1300" s="77"/>
      <c r="K1300" s="81" t="b">
        <v>0</v>
      </c>
      <c r="L1300" s="78"/>
      <c r="M1300" s="82"/>
      <c r="N1300" s="78"/>
      <c r="O1300" s="78"/>
      <c r="P1300" s="78"/>
      <c r="Q1300" s="78"/>
      <c r="R1300" s="78"/>
      <c r="S1300" s="78"/>
      <c r="T1300" s="83"/>
    </row>
    <row r="1301" spans="1:20" ht="15" customHeight="1" x14ac:dyDescent="0.3">
      <c r="A1301" s="73"/>
      <c r="B1301" s="74"/>
      <c r="C1301" s="75"/>
      <c r="D1301" s="76"/>
      <c r="E1301" s="77"/>
      <c r="F1301" s="78"/>
      <c r="G1301" s="78"/>
      <c r="H1301" s="79"/>
      <c r="I1301" s="80"/>
      <c r="J1301" s="77"/>
      <c r="K1301" s="81" t="b">
        <v>0</v>
      </c>
      <c r="L1301" s="78"/>
      <c r="M1301" s="82"/>
      <c r="N1301" s="78"/>
      <c r="O1301" s="78"/>
      <c r="P1301" s="78"/>
      <c r="Q1301" s="78"/>
      <c r="R1301" s="78"/>
      <c r="S1301" s="78"/>
      <c r="T1301" s="83"/>
    </row>
    <row r="1302" spans="1:20" ht="15" customHeight="1" x14ac:dyDescent="0.3">
      <c r="A1302" s="73"/>
      <c r="B1302" s="74"/>
      <c r="C1302" s="75"/>
      <c r="D1302" s="76"/>
      <c r="E1302" s="77"/>
      <c r="F1302" s="78"/>
      <c r="G1302" s="78"/>
      <c r="H1302" s="79"/>
      <c r="I1302" s="80"/>
      <c r="J1302" s="77"/>
      <c r="K1302" s="81" t="b">
        <v>0</v>
      </c>
      <c r="L1302" s="78"/>
      <c r="M1302" s="82"/>
      <c r="N1302" s="78"/>
      <c r="O1302" s="78"/>
      <c r="P1302" s="78"/>
      <c r="Q1302" s="78"/>
      <c r="R1302" s="78"/>
      <c r="S1302" s="78"/>
      <c r="T1302" s="83"/>
    </row>
    <row r="1303" spans="1:20" ht="15" customHeight="1" x14ac:dyDescent="0.3">
      <c r="A1303" s="73"/>
      <c r="B1303" s="74"/>
      <c r="C1303" s="75"/>
      <c r="D1303" s="76"/>
      <c r="E1303" s="77"/>
      <c r="F1303" s="78"/>
      <c r="G1303" s="78"/>
      <c r="H1303" s="79"/>
      <c r="I1303" s="80"/>
      <c r="J1303" s="77"/>
      <c r="K1303" s="81" t="b">
        <v>0</v>
      </c>
      <c r="L1303" s="78"/>
      <c r="M1303" s="82"/>
      <c r="N1303" s="78"/>
      <c r="O1303" s="78"/>
      <c r="P1303" s="78"/>
      <c r="Q1303" s="78"/>
      <c r="R1303" s="78"/>
      <c r="S1303" s="78"/>
      <c r="T1303" s="83"/>
    </row>
    <row r="1304" spans="1:20" ht="15" customHeight="1" x14ac:dyDescent="0.3">
      <c r="A1304" s="73"/>
      <c r="B1304" s="74"/>
      <c r="C1304" s="75"/>
      <c r="D1304" s="76"/>
      <c r="E1304" s="77"/>
      <c r="F1304" s="78"/>
      <c r="G1304" s="78"/>
      <c r="H1304" s="79"/>
      <c r="I1304" s="80"/>
      <c r="J1304" s="77"/>
      <c r="K1304" s="81" t="b">
        <v>0</v>
      </c>
      <c r="L1304" s="78"/>
      <c r="M1304" s="82"/>
      <c r="N1304" s="78"/>
      <c r="O1304" s="78"/>
      <c r="P1304" s="78"/>
      <c r="Q1304" s="78"/>
      <c r="R1304" s="78"/>
      <c r="S1304" s="78"/>
      <c r="T1304" s="83"/>
    </row>
    <row r="1305" spans="1:20" ht="15" customHeight="1" x14ac:dyDescent="0.3">
      <c r="A1305" s="73"/>
      <c r="B1305" s="74"/>
      <c r="C1305" s="75"/>
      <c r="D1305" s="76"/>
      <c r="E1305" s="77"/>
      <c r="F1305" s="78"/>
      <c r="G1305" s="78"/>
      <c r="H1305" s="79"/>
      <c r="I1305" s="80"/>
      <c r="J1305" s="77"/>
      <c r="K1305" s="81" t="b">
        <v>0</v>
      </c>
      <c r="L1305" s="78"/>
      <c r="M1305" s="82"/>
      <c r="N1305" s="78"/>
      <c r="O1305" s="78"/>
      <c r="P1305" s="78"/>
      <c r="Q1305" s="78"/>
      <c r="R1305" s="78"/>
      <c r="S1305" s="78"/>
      <c r="T1305" s="83"/>
    </row>
    <row r="1306" spans="1:20" ht="15" customHeight="1" x14ac:dyDescent="0.3">
      <c r="A1306" s="73"/>
      <c r="B1306" s="74"/>
      <c r="C1306" s="75"/>
      <c r="D1306" s="76"/>
      <c r="E1306" s="77"/>
      <c r="F1306" s="78"/>
      <c r="G1306" s="78"/>
      <c r="H1306" s="79"/>
      <c r="I1306" s="80"/>
      <c r="J1306" s="77"/>
      <c r="K1306" s="81" t="b">
        <v>0</v>
      </c>
      <c r="L1306" s="78"/>
      <c r="M1306" s="82"/>
      <c r="N1306" s="78"/>
      <c r="O1306" s="78"/>
      <c r="P1306" s="78"/>
      <c r="Q1306" s="78"/>
      <c r="R1306" s="78"/>
      <c r="S1306" s="78"/>
      <c r="T1306" s="83"/>
    </row>
    <row r="1307" spans="1:20" ht="15" customHeight="1" x14ac:dyDescent="0.3">
      <c r="A1307" s="73"/>
      <c r="B1307" s="74"/>
      <c r="C1307" s="75"/>
      <c r="D1307" s="76"/>
      <c r="E1307" s="77"/>
      <c r="F1307" s="78"/>
      <c r="G1307" s="78"/>
      <c r="H1307" s="79"/>
      <c r="I1307" s="80"/>
      <c r="J1307" s="77"/>
      <c r="K1307" s="81" t="b">
        <v>0</v>
      </c>
      <c r="L1307" s="78"/>
      <c r="M1307" s="82"/>
      <c r="N1307" s="78"/>
      <c r="O1307" s="78"/>
      <c r="P1307" s="78"/>
      <c r="Q1307" s="78"/>
      <c r="R1307" s="78"/>
      <c r="S1307" s="78"/>
      <c r="T1307" s="83"/>
    </row>
    <row r="1308" spans="1:20" ht="15" customHeight="1" x14ac:dyDescent="0.3">
      <c r="A1308" s="73"/>
      <c r="B1308" s="74"/>
      <c r="C1308" s="75"/>
      <c r="D1308" s="76"/>
      <c r="E1308" s="77"/>
      <c r="F1308" s="78"/>
      <c r="G1308" s="78"/>
      <c r="H1308" s="79"/>
      <c r="I1308" s="80"/>
      <c r="J1308" s="77"/>
      <c r="K1308" s="81" t="b">
        <v>0</v>
      </c>
      <c r="L1308" s="78"/>
      <c r="M1308" s="82"/>
      <c r="N1308" s="78"/>
      <c r="O1308" s="78"/>
      <c r="P1308" s="78"/>
      <c r="Q1308" s="78"/>
      <c r="R1308" s="78"/>
      <c r="S1308" s="78"/>
      <c r="T1308" s="83"/>
    </row>
    <row r="1309" spans="1:20" ht="15" customHeight="1" x14ac:dyDescent="0.3">
      <c r="A1309" s="73"/>
      <c r="B1309" s="74"/>
      <c r="C1309" s="75"/>
      <c r="D1309" s="76"/>
      <c r="E1309" s="77"/>
      <c r="F1309" s="78"/>
      <c r="G1309" s="78"/>
      <c r="H1309" s="79"/>
      <c r="I1309" s="80"/>
      <c r="J1309" s="77"/>
      <c r="K1309" s="81" t="b">
        <v>0</v>
      </c>
      <c r="L1309" s="78"/>
      <c r="M1309" s="82"/>
      <c r="N1309" s="78"/>
      <c r="O1309" s="78"/>
      <c r="P1309" s="78"/>
      <c r="Q1309" s="78"/>
      <c r="R1309" s="78"/>
      <c r="S1309" s="78"/>
      <c r="T1309" s="83"/>
    </row>
    <row r="1310" spans="1:20" ht="15" customHeight="1" x14ac:dyDescent="0.3">
      <c r="A1310" s="73"/>
      <c r="B1310" s="74"/>
      <c r="C1310" s="75"/>
      <c r="D1310" s="76"/>
      <c r="E1310" s="77"/>
      <c r="F1310" s="78"/>
      <c r="G1310" s="78"/>
      <c r="H1310" s="79"/>
      <c r="I1310" s="80"/>
      <c r="J1310" s="77"/>
      <c r="K1310" s="81" t="b">
        <v>0</v>
      </c>
      <c r="L1310" s="78"/>
      <c r="M1310" s="82"/>
      <c r="N1310" s="78"/>
      <c r="O1310" s="78"/>
      <c r="P1310" s="78"/>
      <c r="Q1310" s="78"/>
      <c r="R1310" s="78"/>
      <c r="S1310" s="78"/>
      <c r="T1310" s="83"/>
    </row>
    <row r="1311" spans="1:20" ht="15" customHeight="1" x14ac:dyDescent="0.3">
      <c r="A1311" s="73"/>
      <c r="B1311" s="74"/>
      <c r="C1311" s="75"/>
      <c r="D1311" s="76"/>
      <c r="E1311" s="77"/>
      <c r="F1311" s="78"/>
      <c r="G1311" s="78"/>
      <c r="H1311" s="79"/>
      <c r="I1311" s="80"/>
      <c r="J1311" s="77"/>
      <c r="K1311" s="81" t="b">
        <v>0</v>
      </c>
      <c r="L1311" s="78"/>
      <c r="M1311" s="82"/>
      <c r="N1311" s="78"/>
      <c r="O1311" s="78"/>
      <c r="P1311" s="78"/>
      <c r="Q1311" s="78"/>
      <c r="R1311" s="78"/>
      <c r="S1311" s="78"/>
      <c r="T1311" s="83"/>
    </row>
    <row r="1312" spans="1:20" ht="15" customHeight="1" x14ac:dyDescent="0.3">
      <c r="A1312" s="73"/>
      <c r="B1312" s="74"/>
      <c r="C1312" s="75"/>
      <c r="D1312" s="76"/>
      <c r="E1312" s="77"/>
      <c r="F1312" s="78"/>
      <c r="G1312" s="78"/>
      <c r="H1312" s="79"/>
      <c r="I1312" s="80"/>
      <c r="J1312" s="77"/>
      <c r="K1312" s="81" t="b">
        <v>0</v>
      </c>
      <c r="L1312" s="78"/>
      <c r="M1312" s="82"/>
      <c r="N1312" s="78"/>
      <c r="O1312" s="78"/>
      <c r="P1312" s="78"/>
      <c r="Q1312" s="78"/>
      <c r="R1312" s="78"/>
      <c r="S1312" s="78"/>
      <c r="T1312" s="83"/>
    </row>
    <row r="1313" spans="1:20" ht="15" customHeight="1" x14ac:dyDescent="0.3">
      <c r="A1313" s="73"/>
      <c r="B1313" s="74"/>
      <c r="C1313" s="75"/>
      <c r="D1313" s="76"/>
      <c r="E1313" s="77"/>
      <c r="F1313" s="78"/>
      <c r="G1313" s="78"/>
      <c r="H1313" s="79"/>
      <c r="I1313" s="80"/>
      <c r="J1313" s="77"/>
      <c r="K1313" s="81" t="b">
        <v>0</v>
      </c>
      <c r="L1313" s="78"/>
      <c r="M1313" s="82"/>
      <c r="N1313" s="78"/>
      <c r="O1313" s="78"/>
      <c r="P1313" s="78"/>
      <c r="Q1313" s="78"/>
      <c r="R1313" s="78"/>
      <c r="S1313" s="78"/>
      <c r="T1313" s="83"/>
    </row>
    <row r="1314" spans="1:20" ht="15" customHeight="1" x14ac:dyDescent="0.3">
      <c r="A1314" s="73"/>
      <c r="B1314" s="74"/>
      <c r="C1314" s="75"/>
      <c r="D1314" s="76"/>
      <c r="E1314" s="77"/>
      <c r="F1314" s="78"/>
      <c r="G1314" s="78"/>
      <c r="H1314" s="79"/>
      <c r="I1314" s="80"/>
      <c r="J1314" s="77"/>
      <c r="K1314" s="81" t="b">
        <v>0</v>
      </c>
      <c r="L1314" s="78"/>
      <c r="M1314" s="82"/>
      <c r="N1314" s="78"/>
      <c r="O1314" s="78"/>
      <c r="P1314" s="78"/>
      <c r="Q1314" s="78"/>
      <c r="R1314" s="78"/>
      <c r="S1314" s="78"/>
      <c r="T1314" s="83"/>
    </row>
    <row r="1315" spans="1:20" ht="15" customHeight="1" x14ac:dyDescent="0.3">
      <c r="A1315" s="73"/>
      <c r="B1315" s="74"/>
      <c r="C1315" s="75"/>
      <c r="D1315" s="76"/>
      <c r="E1315" s="77"/>
      <c r="F1315" s="78"/>
      <c r="G1315" s="78"/>
      <c r="H1315" s="79"/>
      <c r="I1315" s="80"/>
      <c r="J1315" s="77"/>
      <c r="K1315" s="81" t="b">
        <v>0</v>
      </c>
      <c r="L1315" s="78"/>
      <c r="M1315" s="82"/>
      <c r="N1315" s="78"/>
      <c r="O1315" s="78"/>
      <c r="P1315" s="78"/>
      <c r="Q1315" s="78"/>
      <c r="R1315" s="78"/>
      <c r="S1315" s="78"/>
      <c r="T1315" s="83"/>
    </row>
    <row r="1316" spans="1:20" ht="15" customHeight="1" x14ac:dyDescent="0.3">
      <c r="A1316" s="73"/>
      <c r="B1316" s="74"/>
      <c r="C1316" s="75"/>
      <c r="D1316" s="76"/>
      <c r="E1316" s="77"/>
      <c r="F1316" s="78"/>
      <c r="G1316" s="78"/>
      <c r="H1316" s="79"/>
      <c r="I1316" s="80"/>
      <c r="J1316" s="77"/>
      <c r="K1316" s="81" t="b">
        <v>0</v>
      </c>
      <c r="L1316" s="78"/>
      <c r="M1316" s="82"/>
      <c r="N1316" s="78"/>
      <c r="O1316" s="78"/>
      <c r="P1316" s="78"/>
      <c r="Q1316" s="78"/>
      <c r="R1316" s="78"/>
      <c r="S1316" s="78"/>
      <c r="T1316" s="83"/>
    </row>
    <row r="1317" spans="1:20" ht="15" customHeight="1" x14ac:dyDescent="0.3">
      <c r="A1317" s="73"/>
      <c r="B1317" s="74"/>
      <c r="C1317" s="75"/>
      <c r="D1317" s="76"/>
      <c r="E1317" s="77"/>
      <c r="F1317" s="78"/>
      <c r="G1317" s="78"/>
      <c r="H1317" s="79"/>
      <c r="I1317" s="80"/>
      <c r="J1317" s="77"/>
      <c r="K1317" s="81" t="b">
        <v>0</v>
      </c>
      <c r="L1317" s="78"/>
      <c r="M1317" s="82"/>
      <c r="N1317" s="78"/>
      <c r="O1317" s="78"/>
      <c r="P1317" s="78"/>
      <c r="Q1317" s="78"/>
      <c r="R1317" s="78"/>
      <c r="S1317" s="78"/>
      <c r="T1317" s="83"/>
    </row>
    <row r="1318" spans="1:20" ht="15" customHeight="1" x14ac:dyDescent="0.3">
      <c r="A1318" s="73"/>
      <c r="B1318" s="74"/>
      <c r="C1318" s="75"/>
      <c r="D1318" s="76"/>
      <c r="E1318" s="77"/>
      <c r="F1318" s="78"/>
      <c r="G1318" s="78"/>
      <c r="H1318" s="79"/>
      <c r="I1318" s="80"/>
      <c r="J1318" s="77"/>
      <c r="K1318" s="81" t="b">
        <v>0</v>
      </c>
      <c r="L1318" s="78"/>
      <c r="M1318" s="82"/>
      <c r="N1318" s="78"/>
      <c r="O1318" s="78"/>
      <c r="P1318" s="78"/>
      <c r="Q1318" s="78"/>
      <c r="R1318" s="78"/>
      <c r="S1318" s="78"/>
      <c r="T1318" s="83"/>
    </row>
    <row r="1319" spans="1:20" ht="15" customHeight="1" x14ac:dyDescent="0.3">
      <c r="A1319" s="73"/>
      <c r="B1319" s="74"/>
      <c r="C1319" s="75"/>
      <c r="D1319" s="76"/>
      <c r="E1319" s="77"/>
      <c r="F1319" s="78"/>
      <c r="G1319" s="78"/>
      <c r="H1319" s="79"/>
      <c r="I1319" s="80"/>
      <c r="J1319" s="77"/>
      <c r="K1319" s="81" t="b">
        <v>0</v>
      </c>
      <c r="L1319" s="78"/>
      <c r="M1319" s="82"/>
      <c r="N1319" s="78"/>
      <c r="O1319" s="78"/>
      <c r="P1319" s="78"/>
      <c r="Q1319" s="78"/>
      <c r="R1319" s="78"/>
      <c r="S1319" s="78"/>
      <c r="T1319" s="83"/>
    </row>
    <row r="1320" spans="1:20" ht="15" customHeight="1" x14ac:dyDescent="0.3">
      <c r="A1320" s="73"/>
      <c r="B1320" s="74"/>
      <c r="C1320" s="75"/>
      <c r="D1320" s="76"/>
      <c r="E1320" s="77"/>
      <c r="F1320" s="78"/>
      <c r="G1320" s="78"/>
      <c r="H1320" s="79"/>
      <c r="I1320" s="80"/>
      <c r="J1320" s="77"/>
      <c r="K1320" s="81" t="b">
        <v>0</v>
      </c>
      <c r="L1320" s="78"/>
      <c r="M1320" s="82"/>
      <c r="N1320" s="78"/>
      <c r="O1320" s="78"/>
      <c r="P1320" s="78"/>
      <c r="Q1320" s="78"/>
      <c r="R1320" s="78"/>
      <c r="S1320" s="78"/>
      <c r="T1320" s="83"/>
    </row>
    <row r="1321" spans="1:20" ht="15" customHeight="1" x14ac:dyDescent="0.3">
      <c r="A1321" s="73"/>
      <c r="B1321" s="74"/>
      <c r="C1321" s="75"/>
      <c r="D1321" s="76"/>
      <c r="E1321" s="77"/>
      <c r="F1321" s="78"/>
      <c r="G1321" s="78"/>
      <c r="H1321" s="79"/>
      <c r="I1321" s="80"/>
      <c r="J1321" s="77"/>
      <c r="K1321" s="81" t="b">
        <v>0</v>
      </c>
      <c r="L1321" s="78"/>
      <c r="M1321" s="82"/>
      <c r="N1321" s="78"/>
      <c r="O1321" s="78"/>
      <c r="P1321" s="78"/>
      <c r="Q1321" s="78"/>
      <c r="R1321" s="78"/>
      <c r="S1321" s="78"/>
      <c r="T1321" s="83"/>
    </row>
    <row r="1322" spans="1:20" ht="15" customHeight="1" x14ac:dyDescent="0.3">
      <c r="A1322" s="73"/>
      <c r="B1322" s="74"/>
      <c r="C1322" s="75"/>
      <c r="D1322" s="76"/>
      <c r="E1322" s="77"/>
      <c r="F1322" s="78"/>
      <c r="G1322" s="78"/>
      <c r="H1322" s="79"/>
      <c r="I1322" s="80"/>
      <c r="J1322" s="77"/>
      <c r="K1322" s="81" t="b">
        <v>0</v>
      </c>
      <c r="L1322" s="78"/>
      <c r="M1322" s="82"/>
      <c r="N1322" s="78"/>
      <c r="O1322" s="78"/>
      <c r="P1322" s="78"/>
      <c r="Q1322" s="78"/>
      <c r="R1322" s="78"/>
      <c r="S1322" s="78"/>
      <c r="T1322" s="83"/>
    </row>
    <row r="1323" spans="1:20" ht="15" customHeight="1" x14ac:dyDescent="0.3">
      <c r="A1323" s="73"/>
      <c r="B1323" s="74"/>
      <c r="C1323" s="75"/>
      <c r="D1323" s="76"/>
      <c r="E1323" s="77"/>
      <c r="F1323" s="78"/>
      <c r="G1323" s="78"/>
      <c r="H1323" s="79"/>
      <c r="I1323" s="80"/>
      <c r="J1323" s="77"/>
      <c r="K1323" s="81" t="b">
        <v>0</v>
      </c>
      <c r="L1323" s="78"/>
      <c r="M1323" s="82"/>
      <c r="N1323" s="78"/>
      <c r="O1323" s="78"/>
      <c r="P1323" s="78"/>
      <c r="Q1323" s="78"/>
      <c r="R1323" s="78"/>
      <c r="S1323" s="78"/>
      <c r="T1323" s="83"/>
    </row>
    <row r="1324" spans="1:20" ht="15" customHeight="1" x14ac:dyDescent="0.3">
      <c r="A1324" s="73"/>
      <c r="B1324" s="74"/>
      <c r="C1324" s="75"/>
      <c r="D1324" s="76"/>
      <c r="E1324" s="77"/>
      <c r="F1324" s="78"/>
      <c r="G1324" s="78"/>
      <c r="H1324" s="79"/>
      <c r="I1324" s="80"/>
      <c r="J1324" s="77"/>
      <c r="K1324" s="81" t="b">
        <v>0</v>
      </c>
      <c r="L1324" s="78"/>
      <c r="M1324" s="82"/>
      <c r="N1324" s="78"/>
      <c r="O1324" s="78"/>
      <c r="P1324" s="78"/>
      <c r="Q1324" s="78"/>
      <c r="R1324" s="78"/>
      <c r="S1324" s="78"/>
      <c r="T1324" s="83"/>
    </row>
    <row r="1325" spans="1:20" ht="15" customHeight="1" x14ac:dyDescent="0.3">
      <c r="A1325" s="73"/>
      <c r="B1325" s="74"/>
      <c r="C1325" s="75"/>
      <c r="D1325" s="76"/>
      <c r="E1325" s="77"/>
      <c r="F1325" s="78"/>
      <c r="G1325" s="78"/>
      <c r="H1325" s="79"/>
      <c r="I1325" s="80"/>
      <c r="J1325" s="77"/>
      <c r="K1325" s="81" t="b">
        <v>0</v>
      </c>
      <c r="L1325" s="78"/>
      <c r="M1325" s="82"/>
      <c r="N1325" s="78"/>
      <c r="O1325" s="78"/>
      <c r="P1325" s="78"/>
      <c r="Q1325" s="78"/>
      <c r="R1325" s="78"/>
      <c r="S1325" s="78"/>
      <c r="T1325" s="83"/>
    </row>
    <row r="1326" spans="1:20" ht="15" customHeight="1" x14ac:dyDescent="0.3">
      <c r="A1326" s="73"/>
      <c r="B1326" s="74"/>
      <c r="C1326" s="75"/>
      <c r="D1326" s="76"/>
      <c r="E1326" s="77"/>
      <c r="F1326" s="78"/>
      <c r="G1326" s="78"/>
      <c r="H1326" s="79"/>
      <c r="I1326" s="80"/>
      <c r="J1326" s="77"/>
      <c r="K1326" s="81" t="b">
        <v>0</v>
      </c>
      <c r="L1326" s="78"/>
      <c r="M1326" s="82"/>
      <c r="N1326" s="78"/>
      <c r="O1326" s="78"/>
      <c r="P1326" s="78"/>
      <c r="Q1326" s="78"/>
      <c r="R1326" s="78"/>
      <c r="S1326" s="78"/>
      <c r="T1326" s="83"/>
    </row>
    <row r="1327" spans="1:20" ht="15" customHeight="1" x14ac:dyDescent="0.3">
      <c r="A1327" s="73"/>
      <c r="B1327" s="74"/>
      <c r="C1327" s="75"/>
      <c r="D1327" s="76"/>
      <c r="E1327" s="77"/>
      <c r="F1327" s="78"/>
      <c r="G1327" s="78"/>
      <c r="H1327" s="79"/>
      <c r="I1327" s="80"/>
      <c r="J1327" s="77"/>
      <c r="K1327" s="81" t="b">
        <v>0</v>
      </c>
      <c r="L1327" s="78"/>
      <c r="M1327" s="82"/>
      <c r="N1327" s="78"/>
      <c r="O1327" s="78"/>
      <c r="P1327" s="78"/>
      <c r="Q1327" s="78"/>
      <c r="R1327" s="78"/>
      <c r="S1327" s="78"/>
      <c r="T1327" s="83"/>
    </row>
    <row r="1328" spans="1:20" ht="15" customHeight="1" x14ac:dyDescent="0.3">
      <c r="A1328" s="73"/>
      <c r="B1328" s="74"/>
      <c r="C1328" s="75"/>
      <c r="D1328" s="76"/>
      <c r="E1328" s="77"/>
      <c r="F1328" s="78"/>
      <c r="G1328" s="78"/>
      <c r="H1328" s="79"/>
      <c r="I1328" s="80"/>
      <c r="J1328" s="77"/>
      <c r="K1328" s="81" t="b">
        <v>0</v>
      </c>
      <c r="L1328" s="78"/>
      <c r="M1328" s="82"/>
      <c r="N1328" s="78"/>
      <c r="O1328" s="78"/>
      <c r="P1328" s="78"/>
      <c r="Q1328" s="78"/>
      <c r="R1328" s="78"/>
      <c r="S1328" s="78"/>
      <c r="T1328" s="83"/>
    </row>
    <row r="1329" spans="1:20" ht="15" customHeight="1" x14ac:dyDescent="0.3">
      <c r="A1329" s="73"/>
      <c r="B1329" s="74"/>
      <c r="C1329" s="75"/>
      <c r="D1329" s="76"/>
      <c r="E1329" s="77"/>
      <c r="F1329" s="78"/>
      <c r="G1329" s="78"/>
      <c r="H1329" s="79"/>
      <c r="I1329" s="80"/>
      <c r="J1329" s="77"/>
      <c r="K1329" s="81" t="b">
        <v>0</v>
      </c>
      <c r="L1329" s="78"/>
      <c r="M1329" s="82"/>
      <c r="N1329" s="78"/>
      <c r="O1329" s="78"/>
      <c r="P1329" s="78"/>
      <c r="Q1329" s="78"/>
      <c r="R1329" s="78"/>
      <c r="S1329" s="78"/>
      <c r="T1329" s="83"/>
    </row>
    <row r="1330" spans="1:20" ht="15" customHeight="1" x14ac:dyDescent="0.3">
      <c r="A1330" s="73"/>
      <c r="B1330" s="74"/>
      <c r="C1330" s="75"/>
      <c r="D1330" s="76"/>
      <c r="E1330" s="77"/>
      <c r="F1330" s="78"/>
      <c r="G1330" s="78"/>
      <c r="H1330" s="79"/>
      <c r="I1330" s="80"/>
      <c r="J1330" s="77"/>
      <c r="K1330" s="81" t="b">
        <v>0</v>
      </c>
      <c r="L1330" s="78"/>
      <c r="M1330" s="82"/>
      <c r="N1330" s="78"/>
      <c r="O1330" s="78"/>
      <c r="P1330" s="78"/>
      <c r="Q1330" s="78"/>
      <c r="R1330" s="78"/>
      <c r="S1330" s="78"/>
      <c r="T1330" s="83"/>
    </row>
    <row r="1331" spans="1:20" ht="15" customHeight="1" x14ac:dyDescent="0.3">
      <c r="A1331" s="73"/>
      <c r="B1331" s="74"/>
      <c r="C1331" s="75"/>
      <c r="D1331" s="76"/>
      <c r="E1331" s="77"/>
      <c r="F1331" s="78"/>
      <c r="G1331" s="78"/>
      <c r="H1331" s="79"/>
      <c r="I1331" s="80"/>
      <c r="J1331" s="77"/>
      <c r="K1331" s="81" t="b">
        <v>0</v>
      </c>
      <c r="L1331" s="78"/>
      <c r="M1331" s="82"/>
      <c r="N1331" s="78"/>
      <c r="O1331" s="78"/>
      <c r="P1331" s="78"/>
      <c r="Q1331" s="78"/>
      <c r="R1331" s="78"/>
      <c r="S1331" s="78"/>
      <c r="T1331" s="83"/>
    </row>
    <row r="1332" spans="1:20" ht="15" customHeight="1" x14ac:dyDescent="0.3">
      <c r="A1332" s="73"/>
      <c r="B1332" s="74"/>
      <c r="C1332" s="75"/>
      <c r="D1332" s="76"/>
      <c r="E1332" s="77"/>
      <c r="F1332" s="78"/>
      <c r="G1332" s="78"/>
      <c r="H1332" s="79"/>
      <c r="I1332" s="80"/>
      <c r="J1332" s="77"/>
      <c r="K1332" s="81" t="b">
        <v>0</v>
      </c>
      <c r="L1332" s="78"/>
      <c r="M1332" s="82"/>
      <c r="N1332" s="78"/>
      <c r="O1332" s="78"/>
      <c r="P1332" s="78"/>
      <c r="Q1332" s="78"/>
      <c r="R1332" s="78"/>
      <c r="S1332" s="78"/>
      <c r="T1332" s="83"/>
    </row>
    <row r="1333" spans="1:20" ht="15" customHeight="1" x14ac:dyDescent="0.3">
      <c r="A1333" s="73"/>
      <c r="B1333" s="74"/>
      <c r="C1333" s="75"/>
      <c r="D1333" s="76"/>
      <c r="E1333" s="77"/>
      <c r="F1333" s="78"/>
      <c r="G1333" s="78"/>
      <c r="H1333" s="79"/>
      <c r="I1333" s="80"/>
      <c r="J1333" s="77"/>
      <c r="K1333" s="81" t="b">
        <v>0</v>
      </c>
      <c r="L1333" s="78"/>
      <c r="M1333" s="82"/>
      <c r="N1333" s="78"/>
      <c r="O1333" s="78"/>
      <c r="P1333" s="78"/>
      <c r="Q1333" s="78"/>
      <c r="R1333" s="78"/>
      <c r="S1333" s="78"/>
      <c r="T1333" s="83"/>
    </row>
    <row r="1334" spans="1:20" ht="15" customHeight="1" x14ac:dyDescent="0.3">
      <c r="A1334" s="73"/>
      <c r="B1334" s="74"/>
      <c r="C1334" s="75"/>
      <c r="D1334" s="76"/>
      <c r="E1334" s="77"/>
      <c r="F1334" s="78"/>
      <c r="G1334" s="78"/>
      <c r="H1334" s="79"/>
      <c r="I1334" s="80"/>
      <c r="J1334" s="77"/>
      <c r="K1334" s="81" t="b">
        <v>0</v>
      </c>
      <c r="L1334" s="78"/>
      <c r="M1334" s="82"/>
      <c r="N1334" s="78"/>
      <c r="O1334" s="78"/>
      <c r="P1334" s="78"/>
      <c r="Q1334" s="78"/>
      <c r="R1334" s="78"/>
      <c r="S1334" s="78"/>
      <c r="T1334" s="83"/>
    </row>
    <row r="1335" spans="1:20" ht="15" customHeight="1" x14ac:dyDescent="0.3">
      <c r="A1335" s="73"/>
      <c r="B1335" s="74"/>
      <c r="C1335" s="75"/>
      <c r="D1335" s="76"/>
      <c r="E1335" s="77"/>
      <c r="F1335" s="78"/>
      <c r="G1335" s="78"/>
      <c r="H1335" s="79"/>
      <c r="I1335" s="80"/>
      <c r="J1335" s="77"/>
      <c r="K1335" s="81" t="b">
        <v>0</v>
      </c>
      <c r="L1335" s="78"/>
      <c r="M1335" s="82"/>
      <c r="N1335" s="78"/>
      <c r="O1335" s="78"/>
      <c r="P1335" s="78"/>
      <c r="Q1335" s="78"/>
      <c r="R1335" s="78"/>
      <c r="S1335" s="78"/>
      <c r="T1335" s="83"/>
    </row>
    <row r="1336" spans="1:20" ht="15" customHeight="1" x14ac:dyDescent="0.3">
      <c r="A1336" s="73"/>
      <c r="B1336" s="74"/>
      <c r="C1336" s="75"/>
      <c r="D1336" s="76"/>
      <c r="E1336" s="77"/>
      <c r="F1336" s="78"/>
      <c r="G1336" s="78"/>
      <c r="H1336" s="79"/>
      <c r="I1336" s="80"/>
      <c r="J1336" s="77"/>
      <c r="K1336" s="81" t="b">
        <v>0</v>
      </c>
      <c r="L1336" s="78"/>
      <c r="M1336" s="82"/>
      <c r="N1336" s="78"/>
      <c r="O1336" s="78"/>
      <c r="P1336" s="78"/>
      <c r="Q1336" s="78"/>
      <c r="R1336" s="78"/>
      <c r="S1336" s="78"/>
      <c r="T1336" s="83"/>
    </row>
    <row r="1337" spans="1:20" ht="15" customHeight="1" x14ac:dyDescent="0.3">
      <c r="A1337" s="73"/>
      <c r="B1337" s="74"/>
      <c r="C1337" s="75"/>
      <c r="D1337" s="76"/>
      <c r="E1337" s="77"/>
      <c r="F1337" s="78"/>
      <c r="G1337" s="78"/>
      <c r="H1337" s="79"/>
      <c r="I1337" s="80"/>
      <c r="J1337" s="77"/>
      <c r="K1337" s="81" t="b">
        <v>0</v>
      </c>
      <c r="L1337" s="78"/>
      <c r="M1337" s="82"/>
      <c r="N1337" s="78"/>
      <c r="O1337" s="78"/>
      <c r="P1337" s="78"/>
      <c r="Q1337" s="78"/>
      <c r="R1337" s="78"/>
      <c r="S1337" s="78"/>
      <c r="T1337" s="83"/>
    </row>
    <row r="1338" spans="1:20" ht="15" customHeight="1" x14ac:dyDescent="0.3">
      <c r="A1338" s="73"/>
      <c r="B1338" s="74"/>
      <c r="C1338" s="75"/>
      <c r="D1338" s="76"/>
      <c r="E1338" s="77"/>
      <c r="F1338" s="78"/>
      <c r="G1338" s="78"/>
      <c r="H1338" s="79"/>
      <c r="I1338" s="80"/>
      <c r="J1338" s="77"/>
      <c r="K1338" s="81" t="b">
        <v>0</v>
      </c>
      <c r="L1338" s="78"/>
      <c r="M1338" s="82"/>
      <c r="N1338" s="78"/>
      <c r="O1338" s="78"/>
      <c r="P1338" s="78"/>
      <c r="Q1338" s="78"/>
      <c r="R1338" s="78"/>
      <c r="S1338" s="78"/>
      <c r="T1338" s="83"/>
    </row>
    <row r="1339" spans="1:20" ht="15" customHeight="1" x14ac:dyDescent="0.3">
      <c r="A1339" s="73"/>
      <c r="B1339" s="74"/>
      <c r="C1339" s="75"/>
      <c r="D1339" s="76"/>
      <c r="E1339" s="77"/>
      <c r="F1339" s="78"/>
      <c r="G1339" s="78"/>
      <c r="H1339" s="79"/>
      <c r="I1339" s="80"/>
      <c r="J1339" s="77"/>
      <c r="K1339" s="81" t="b">
        <v>0</v>
      </c>
      <c r="L1339" s="78"/>
      <c r="M1339" s="82"/>
      <c r="N1339" s="78"/>
      <c r="O1339" s="78"/>
      <c r="P1339" s="78"/>
      <c r="Q1339" s="78"/>
      <c r="R1339" s="78"/>
      <c r="S1339" s="78"/>
      <c r="T1339" s="83"/>
    </row>
    <row r="1340" spans="1:20" ht="15" customHeight="1" x14ac:dyDescent="0.3">
      <c r="A1340" s="73"/>
      <c r="B1340" s="74"/>
      <c r="C1340" s="75"/>
      <c r="D1340" s="76"/>
      <c r="E1340" s="77"/>
      <c r="F1340" s="78"/>
      <c r="G1340" s="78"/>
      <c r="H1340" s="79"/>
      <c r="I1340" s="80"/>
      <c r="J1340" s="77"/>
      <c r="K1340" s="81" t="b">
        <v>0</v>
      </c>
      <c r="L1340" s="78"/>
      <c r="M1340" s="82"/>
      <c r="N1340" s="78"/>
      <c r="O1340" s="78"/>
      <c r="P1340" s="78"/>
      <c r="Q1340" s="78"/>
      <c r="R1340" s="78"/>
      <c r="S1340" s="78"/>
      <c r="T1340" s="83"/>
    </row>
    <row r="1341" spans="1:20" ht="15" customHeight="1" x14ac:dyDescent="0.3">
      <c r="A1341" s="73"/>
      <c r="B1341" s="74"/>
      <c r="C1341" s="75"/>
      <c r="D1341" s="76"/>
      <c r="E1341" s="77"/>
      <c r="F1341" s="78"/>
      <c r="G1341" s="78"/>
      <c r="H1341" s="79"/>
      <c r="I1341" s="80"/>
      <c r="J1341" s="77"/>
      <c r="K1341" s="81" t="b">
        <v>0</v>
      </c>
      <c r="L1341" s="78"/>
      <c r="M1341" s="82"/>
      <c r="N1341" s="78"/>
      <c r="O1341" s="78"/>
      <c r="P1341" s="78"/>
      <c r="Q1341" s="78"/>
      <c r="R1341" s="78"/>
      <c r="S1341" s="78"/>
      <c r="T1341" s="83"/>
    </row>
    <row r="1342" spans="1:20" ht="15" customHeight="1" x14ac:dyDescent="0.3">
      <c r="A1342" s="73"/>
      <c r="B1342" s="74"/>
      <c r="C1342" s="75"/>
      <c r="D1342" s="76"/>
      <c r="E1342" s="77"/>
      <c r="F1342" s="78"/>
      <c r="G1342" s="78"/>
      <c r="H1342" s="79"/>
      <c r="I1342" s="80"/>
      <c r="J1342" s="77"/>
      <c r="K1342" s="81" t="b">
        <v>0</v>
      </c>
      <c r="L1342" s="78"/>
      <c r="M1342" s="82"/>
      <c r="N1342" s="78"/>
      <c r="O1342" s="78"/>
      <c r="P1342" s="78"/>
      <c r="Q1342" s="78"/>
      <c r="R1342" s="78"/>
      <c r="S1342" s="78"/>
      <c r="T1342" s="83"/>
    </row>
    <row r="1343" spans="1:20" ht="15" customHeight="1" x14ac:dyDescent="0.3">
      <c r="A1343" s="73"/>
      <c r="B1343" s="74"/>
      <c r="C1343" s="75"/>
      <c r="D1343" s="76"/>
      <c r="E1343" s="77"/>
      <c r="F1343" s="78"/>
      <c r="G1343" s="78"/>
      <c r="H1343" s="79"/>
      <c r="I1343" s="80"/>
      <c r="J1343" s="77"/>
      <c r="K1343" s="81" t="b">
        <v>0</v>
      </c>
      <c r="L1343" s="78"/>
      <c r="M1343" s="82"/>
      <c r="N1343" s="78"/>
      <c r="O1343" s="78"/>
      <c r="P1343" s="78"/>
      <c r="Q1343" s="78"/>
      <c r="R1343" s="78"/>
      <c r="S1343" s="78"/>
      <c r="T1343" s="83"/>
    </row>
    <row r="1344" spans="1:20" ht="15" customHeight="1" x14ac:dyDescent="0.3">
      <c r="A1344" s="73"/>
      <c r="B1344" s="74"/>
      <c r="C1344" s="75"/>
      <c r="D1344" s="76"/>
      <c r="E1344" s="77"/>
      <c r="F1344" s="78"/>
      <c r="G1344" s="78"/>
      <c r="H1344" s="79"/>
      <c r="I1344" s="80"/>
      <c r="J1344" s="77"/>
      <c r="K1344" s="81" t="b">
        <v>0</v>
      </c>
      <c r="L1344" s="78"/>
      <c r="M1344" s="82"/>
      <c r="N1344" s="78"/>
      <c r="O1344" s="78"/>
      <c r="P1344" s="78"/>
      <c r="Q1344" s="78"/>
      <c r="R1344" s="78"/>
      <c r="S1344" s="78"/>
      <c r="T1344" s="83"/>
    </row>
    <row r="1345" spans="1:20" ht="15" customHeight="1" x14ac:dyDescent="0.3">
      <c r="A1345" s="73"/>
      <c r="B1345" s="74"/>
      <c r="C1345" s="75"/>
      <c r="D1345" s="76"/>
      <c r="E1345" s="77"/>
      <c r="F1345" s="78"/>
      <c r="G1345" s="78"/>
      <c r="H1345" s="79"/>
      <c r="I1345" s="80"/>
      <c r="J1345" s="77"/>
      <c r="K1345" s="81" t="b">
        <v>0</v>
      </c>
      <c r="L1345" s="78"/>
      <c r="M1345" s="82"/>
      <c r="N1345" s="78"/>
      <c r="O1345" s="78"/>
      <c r="P1345" s="78"/>
      <c r="Q1345" s="78"/>
      <c r="R1345" s="78"/>
      <c r="S1345" s="78"/>
      <c r="T1345" s="83"/>
    </row>
    <row r="1346" spans="1:20" ht="15" customHeight="1" x14ac:dyDescent="0.3">
      <c r="A1346" s="73"/>
      <c r="B1346" s="74"/>
      <c r="C1346" s="75"/>
      <c r="D1346" s="76"/>
      <c r="E1346" s="77"/>
      <c r="F1346" s="78"/>
      <c r="G1346" s="78"/>
      <c r="H1346" s="79"/>
      <c r="I1346" s="80"/>
      <c r="J1346" s="77"/>
      <c r="K1346" s="81" t="b">
        <v>0</v>
      </c>
      <c r="L1346" s="78"/>
      <c r="M1346" s="82"/>
      <c r="N1346" s="78"/>
      <c r="O1346" s="78"/>
      <c r="P1346" s="78"/>
      <c r="Q1346" s="78"/>
      <c r="R1346" s="78"/>
      <c r="S1346" s="78"/>
      <c r="T1346" s="83"/>
    </row>
    <row r="1347" spans="1:20" ht="15" customHeight="1" x14ac:dyDescent="0.3">
      <c r="A1347" s="73"/>
      <c r="B1347" s="74"/>
      <c r="C1347" s="75"/>
      <c r="D1347" s="76"/>
      <c r="E1347" s="77"/>
      <c r="F1347" s="78"/>
      <c r="G1347" s="78"/>
      <c r="H1347" s="79"/>
      <c r="I1347" s="80"/>
      <c r="J1347" s="77"/>
      <c r="K1347" s="81" t="b">
        <v>0</v>
      </c>
      <c r="L1347" s="78"/>
      <c r="M1347" s="82"/>
      <c r="N1347" s="78"/>
      <c r="O1347" s="78"/>
      <c r="P1347" s="78"/>
      <c r="Q1347" s="78"/>
      <c r="R1347" s="78"/>
      <c r="S1347" s="78"/>
      <c r="T1347" s="83"/>
    </row>
    <row r="1348" spans="1:20" ht="15" customHeight="1" x14ac:dyDescent="0.3">
      <c r="A1348" s="73"/>
      <c r="B1348" s="74"/>
      <c r="C1348" s="75"/>
      <c r="D1348" s="76"/>
      <c r="E1348" s="77"/>
      <c r="F1348" s="78"/>
      <c r="G1348" s="78"/>
      <c r="H1348" s="79"/>
      <c r="I1348" s="80"/>
      <c r="J1348" s="77"/>
      <c r="K1348" s="81" t="b">
        <v>0</v>
      </c>
      <c r="L1348" s="78"/>
      <c r="M1348" s="82"/>
      <c r="N1348" s="78"/>
      <c r="O1348" s="78"/>
      <c r="P1348" s="78"/>
      <c r="Q1348" s="78"/>
      <c r="R1348" s="78"/>
      <c r="S1348" s="78"/>
      <c r="T1348" s="83"/>
    </row>
    <row r="1349" spans="1:20" ht="15" customHeight="1" x14ac:dyDescent="0.3">
      <c r="A1349" s="73"/>
      <c r="B1349" s="74"/>
      <c r="C1349" s="75"/>
      <c r="D1349" s="76"/>
      <c r="E1349" s="77"/>
      <c r="F1349" s="78"/>
      <c r="G1349" s="78"/>
      <c r="H1349" s="79"/>
      <c r="I1349" s="80"/>
      <c r="J1349" s="77"/>
      <c r="K1349" s="81" t="b">
        <v>0</v>
      </c>
      <c r="L1349" s="78"/>
      <c r="M1349" s="82"/>
      <c r="N1349" s="78"/>
      <c r="O1349" s="78"/>
      <c r="P1349" s="78"/>
      <c r="Q1349" s="78"/>
      <c r="R1349" s="78"/>
      <c r="S1349" s="78"/>
      <c r="T1349" s="83"/>
    </row>
    <row r="1350" spans="1:20" ht="15" customHeight="1" x14ac:dyDescent="0.3">
      <c r="A1350" s="73"/>
      <c r="B1350" s="74"/>
      <c r="C1350" s="75"/>
      <c r="D1350" s="76"/>
      <c r="E1350" s="77"/>
      <c r="F1350" s="78"/>
      <c r="G1350" s="78"/>
      <c r="H1350" s="79"/>
      <c r="I1350" s="80"/>
      <c r="J1350" s="77"/>
      <c r="K1350" s="81" t="b">
        <v>0</v>
      </c>
      <c r="L1350" s="78"/>
      <c r="M1350" s="82"/>
      <c r="N1350" s="78"/>
      <c r="O1350" s="78"/>
      <c r="P1350" s="78"/>
      <c r="Q1350" s="78"/>
      <c r="R1350" s="78"/>
      <c r="S1350" s="78"/>
      <c r="T1350" s="83"/>
    </row>
    <row r="1351" spans="1:20" ht="15" customHeight="1" x14ac:dyDescent="0.3">
      <c r="A1351" s="73"/>
      <c r="B1351" s="74"/>
      <c r="C1351" s="75"/>
      <c r="D1351" s="76"/>
      <c r="E1351" s="77"/>
      <c r="F1351" s="78"/>
      <c r="G1351" s="78"/>
      <c r="H1351" s="79"/>
      <c r="I1351" s="80"/>
      <c r="J1351" s="77"/>
      <c r="K1351" s="81" t="b">
        <v>0</v>
      </c>
      <c r="L1351" s="78"/>
      <c r="M1351" s="82"/>
      <c r="N1351" s="78"/>
      <c r="O1351" s="78"/>
      <c r="P1351" s="78"/>
      <c r="Q1351" s="78"/>
      <c r="R1351" s="78"/>
      <c r="S1351" s="78"/>
      <c r="T1351" s="83"/>
    </row>
    <row r="1352" spans="1:20" ht="15" customHeight="1" x14ac:dyDescent="0.3">
      <c r="A1352" s="73"/>
      <c r="B1352" s="74"/>
      <c r="C1352" s="75"/>
      <c r="D1352" s="76"/>
      <c r="E1352" s="77"/>
      <c r="F1352" s="78"/>
      <c r="G1352" s="78"/>
      <c r="H1352" s="79"/>
      <c r="I1352" s="80"/>
      <c r="J1352" s="77"/>
      <c r="K1352" s="81" t="b">
        <v>0</v>
      </c>
      <c r="L1352" s="78"/>
      <c r="M1352" s="82"/>
      <c r="N1352" s="78"/>
      <c r="O1352" s="78"/>
      <c r="P1352" s="78"/>
      <c r="Q1352" s="78"/>
      <c r="R1352" s="78"/>
      <c r="S1352" s="78"/>
      <c r="T1352" s="83"/>
    </row>
    <row r="1353" spans="1:20" ht="15" customHeight="1" x14ac:dyDescent="0.3">
      <c r="A1353" s="73"/>
      <c r="B1353" s="74"/>
      <c r="C1353" s="75"/>
      <c r="D1353" s="76"/>
      <c r="E1353" s="77"/>
      <c r="F1353" s="78"/>
      <c r="G1353" s="78"/>
      <c r="H1353" s="79"/>
      <c r="I1353" s="80"/>
      <c r="J1353" s="77"/>
      <c r="K1353" s="81" t="b">
        <v>0</v>
      </c>
      <c r="L1353" s="78"/>
      <c r="M1353" s="82"/>
      <c r="N1353" s="78"/>
      <c r="O1353" s="78"/>
      <c r="P1353" s="78"/>
      <c r="Q1353" s="78"/>
      <c r="R1353" s="78"/>
      <c r="S1353" s="78"/>
      <c r="T1353" s="83"/>
    </row>
    <row r="1354" spans="1:20" ht="15" customHeight="1" x14ac:dyDescent="0.3">
      <c r="A1354" s="73"/>
      <c r="B1354" s="74"/>
      <c r="C1354" s="75"/>
      <c r="D1354" s="76"/>
      <c r="E1354" s="77"/>
      <c r="F1354" s="78"/>
      <c r="G1354" s="78"/>
      <c r="H1354" s="79"/>
      <c r="I1354" s="80"/>
      <c r="J1354" s="77"/>
      <c r="K1354" s="81" t="b">
        <v>0</v>
      </c>
      <c r="L1354" s="78"/>
      <c r="M1354" s="82"/>
      <c r="N1354" s="78"/>
      <c r="O1354" s="78"/>
      <c r="P1354" s="78"/>
      <c r="Q1354" s="78"/>
      <c r="R1354" s="78"/>
      <c r="S1354" s="78"/>
      <c r="T1354" s="83"/>
    </row>
    <row r="1355" spans="1:20" ht="15" customHeight="1" x14ac:dyDescent="0.3">
      <c r="A1355" s="73"/>
      <c r="B1355" s="74"/>
      <c r="C1355" s="75"/>
      <c r="D1355" s="76"/>
      <c r="E1355" s="77"/>
      <c r="F1355" s="78"/>
      <c r="G1355" s="78"/>
      <c r="H1355" s="79"/>
      <c r="I1355" s="80"/>
      <c r="J1355" s="77"/>
      <c r="K1355" s="81" t="b">
        <v>0</v>
      </c>
      <c r="L1355" s="78"/>
      <c r="M1355" s="82"/>
      <c r="N1355" s="78"/>
      <c r="O1355" s="78"/>
      <c r="P1355" s="78"/>
      <c r="Q1355" s="78"/>
      <c r="R1355" s="78"/>
      <c r="S1355" s="78"/>
      <c r="T1355" s="83"/>
    </row>
    <row r="1356" spans="1:20" ht="15" customHeight="1" x14ac:dyDescent="0.3">
      <c r="A1356" s="73"/>
      <c r="B1356" s="74"/>
      <c r="C1356" s="75"/>
      <c r="D1356" s="76"/>
      <c r="E1356" s="77"/>
      <c r="F1356" s="78"/>
      <c r="G1356" s="78"/>
      <c r="H1356" s="79"/>
      <c r="I1356" s="80"/>
      <c r="J1356" s="77"/>
      <c r="K1356" s="81" t="b">
        <v>0</v>
      </c>
      <c r="L1356" s="78"/>
      <c r="M1356" s="82"/>
      <c r="N1356" s="78"/>
      <c r="O1356" s="78"/>
      <c r="P1356" s="78"/>
      <c r="Q1356" s="78"/>
      <c r="R1356" s="78"/>
      <c r="S1356" s="78"/>
      <c r="T1356" s="83"/>
    </row>
    <row r="1357" spans="1:20" ht="15" customHeight="1" x14ac:dyDescent="0.3">
      <c r="A1357" s="73"/>
      <c r="B1357" s="74"/>
      <c r="C1357" s="75"/>
      <c r="D1357" s="76"/>
      <c r="E1357" s="77"/>
      <c r="F1357" s="78"/>
      <c r="G1357" s="78"/>
      <c r="H1357" s="79"/>
      <c r="I1357" s="80"/>
      <c r="J1357" s="77"/>
      <c r="K1357" s="81" t="b">
        <v>0</v>
      </c>
      <c r="L1357" s="78"/>
      <c r="M1357" s="82"/>
      <c r="N1357" s="78"/>
      <c r="O1357" s="78"/>
      <c r="P1357" s="78"/>
      <c r="Q1357" s="78"/>
      <c r="R1357" s="78"/>
      <c r="S1357" s="78"/>
      <c r="T1357" s="83"/>
    </row>
    <row r="1358" spans="1:20" ht="15" customHeight="1" x14ac:dyDescent="0.3">
      <c r="A1358" s="73"/>
      <c r="B1358" s="74"/>
      <c r="C1358" s="75"/>
      <c r="D1358" s="76"/>
      <c r="E1358" s="77"/>
      <c r="F1358" s="78"/>
      <c r="G1358" s="78"/>
      <c r="H1358" s="79"/>
      <c r="I1358" s="80"/>
      <c r="J1358" s="77"/>
      <c r="K1358" s="81" t="b">
        <v>0</v>
      </c>
      <c r="L1358" s="78"/>
      <c r="M1358" s="82"/>
      <c r="N1358" s="78"/>
      <c r="O1358" s="78"/>
      <c r="P1358" s="78"/>
      <c r="Q1358" s="78"/>
      <c r="R1358" s="78"/>
      <c r="S1358" s="78"/>
      <c r="T1358" s="83"/>
    </row>
    <row r="1359" spans="1:20" ht="15" customHeight="1" x14ac:dyDescent="0.3">
      <c r="A1359" s="73"/>
      <c r="B1359" s="74"/>
      <c r="C1359" s="75"/>
      <c r="D1359" s="76"/>
      <c r="E1359" s="77"/>
      <c r="F1359" s="78"/>
      <c r="G1359" s="78"/>
      <c r="H1359" s="79"/>
      <c r="I1359" s="80"/>
      <c r="J1359" s="77"/>
      <c r="K1359" s="81" t="b">
        <v>0</v>
      </c>
      <c r="L1359" s="78"/>
      <c r="M1359" s="82"/>
      <c r="N1359" s="78"/>
      <c r="O1359" s="78"/>
      <c r="P1359" s="78"/>
      <c r="Q1359" s="78"/>
      <c r="R1359" s="78"/>
      <c r="S1359" s="78"/>
      <c r="T1359" s="83"/>
    </row>
    <row r="1360" spans="1:20" ht="15" customHeight="1" x14ac:dyDescent="0.3">
      <c r="A1360" s="73"/>
      <c r="B1360" s="74"/>
      <c r="C1360" s="75"/>
      <c r="D1360" s="76"/>
      <c r="E1360" s="77"/>
      <c r="F1360" s="78"/>
      <c r="G1360" s="78"/>
      <c r="H1360" s="79"/>
      <c r="I1360" s="80"/>
      <c r="J1360" s="77"/>
      <c r="K1360" s="81" t="b">
        <v>0</v>
      </c>
      <c r="L1360" s="78"/>
      <c r="M1360" s="82"/>
      <c r="N1360" s="78"/>
      <c r="O1360" s="78"/>
      <c r="P1360" s="78"/>
      <c r="Q1360" s="78"/>
      <c r="R1360" s="78"/>
      <c r="S1360" s="78"/>
      <c r="T1360" s="83"/>
    </row>
    <row r="1361" spans="1:20" ht="15" customHeight="1" x14ac:dyDescent="0.3">
      <c r="A1361" s="73"/>
      <c r="B1361" s="74"/>
      <c r="C1361" s="75"/>
      <c r="D1361" s="76"/>
      <c r="E1361" s="77"/>
      <c r="F1361" s="78"/>
      <c r="G1361" s="78"/>
      <c r="H1361" s="79"/>
      <c r="I1361" s="80"/>
      <c r="J1361" s="77"/>
      <c r="K1361" s="81" t="b">
        <v>0</v>
      </c>
      <c r="L1361" s="78"/>
      <c r="M1361" s="82"/>
      <c r="N1361" s="78"/>
      <c r="O1361" s="78"/>
      <c r="P1361" s="78"/>
      <c r="Q1361" s="78"/>
      <c r="R1361" s="78"/>
      <c r="S1361" s="78"/>
      <c r="T1361" s="83"/>
    </row>
    <row r="1362" spans="1:20" ht="15" customHeight="1" x14ac:dyDescent="0.3">
      <c r="A1362" s="73"/>
      <c r="B1362" s="74"/>
      <c r="C1362" s="75"/>
      <c r="D1362" s="76"/>
      <c r="E1362" s="77"/>
      <c r="F1362" s="78"/>
      <c r="G1362" s="78"/>
      <c r="H1362" s="79"/>
      <c r="I1362" s="80"/>
      <c r="J1362" s="77"/>
      <c r="K1362" s="81" t="b">
        <v>0</v>
      </c>
      <c r="L1362" s="78"/>
      <c r="M1362" s="82"/>
      <c r="N1362" s="78"/>
      <c r="O1362" s="78"/>
      <c r="P1362" s="78"/>
      <c r="Q1362" s="78"/>
      <c r="R1362" s="78"/>
      <c r="S1362" s="78"/>
      <c r="T1362" s="83"/>
    </row>
    <row r="1363" spans="1:20" ht="15" customHeight="1" x14ac:dyDescent="0.3">
      <c r="A1363" s="73"/>
      <c r="B1363" s="74"/>
      <c r="C1363" s="75"/>
      <c r="D1363" s="76"/>
      <c r="E1363" s="77"/>
      <c r="F1363" s="78"/>
      <c r="G1363" s="78"/>
      <c r="H1363" s="79"/>
      <c r="I1363" s="80"/>
      <c r="J1363" s="77"/>
      <c r="K1363" s="81" t="b">
        <v>0</v>
      </c>
      <c r="L1363" s="78"/>
      <c r="M1363" s="82"/>
      <c r="N1363" s="78"/>
      <c r="O1363" s="78"/>
      <c r="P1363" s="78"/>
      <c r="Q1363" s="78"/>
      <c r="R1363" s="78"/>
      <c r="S1363" s="78"/>
      <c r="T1363" s="83"/>
    </row>
    <row r="1364" spans="1:20" ht="15" customHeight="1" x14ac:dyDescent="0.3">
      <c r="A1364" s="73"/>
      <c r="B1364" s="74"/>
      <c r="C1364" s="75"/>
      <c r="D1364" s="76"/>
      <c r="E1364" s="77"/>
      <c r="F1364" s="78"/>
      <c r="G1364" s="78"/>
      <c r="H1364" s="79"/>
      <c r="I1364" s="80"/>
      <c r="J1364" s="77"/>
      <c r="K1364" s="81" t="b">
        <v>0</v>
      </c>
      <c r="L1364" s="78"/>
      <c r="M1364" s="82"/>
      <c r="N1364" s="78"/>
      <c r="O1364" s="78"/>
      <c r="P1364" s="78"/>
      <c r="Q1364" s="78"/>
      <c r="R1364" s="78"/>
      <c r="S1364" s="78"/>
      <c r="T1364" s="83"/>
    </row>
    <row r="1365" spans="1:20" ht="15" customHeight="1" x14ac:dyDescent="0.3">
      <c r="A1365" s="73"/>
      <c r="B1365" s="74"/>
      <c r="C1365" s="75"/>
      <c r="D1365" s="76"/>
      <c r="E1365" s="77"/>
      <c r="F1365" s="78"/>
      <c r="G1365" s="78"/>
      <c r="H1365" s="79"/>
      <c r="I1365" s="80"/>
      <c r="J1365" s="77"/>
      <c r="K1365" s="81" t="b">
        <v>0</v>
      </c>
      <c r="L1365" s="78"/>
      <c r="M1365" s="82"/>
      <c r="N1365" s="78"/>
      <c r="O1365" s="78"/>
      <c r="P1365" s="78"/>
      <c r="Q1365" s="78"/>
      <c r="R1365" s="78"/>
      <c r="S1365" s="78"/>
      <c r="T1365" s="83"/>
    </row>
    <row r="1366" spans="1:20" ht="15" customHeight="1" x14ac:dyDescent="0.3">
      <c r="A1366" s="73"/>
      <c r="B1366" s="74"/>
      <c r="C1366" s="75"/>
      <c r="D1366" s="76"/>
      <c r="E1366" s="77"/>
      <c r="F1366" s="78"/>
      <c r="G1366" s="78"/>
      <c r="H1366" s="79"/>
      <c r="I1366" s="80"/>
      <c r="J1366" s="77"/>
      <c r="K1366" s="81" t="b">
        <v>0</v>
      </c>
      <c r="L1366" s="78"/>
      <c r="M1366" s="82"/>
      <c r="N1366" s="78"/>
      <c r="O1366" s="78"/>
      <c r="P1366" s="78"/>
      <c r="Q1366" s="78"/>
      <c r="R1366" s="78"/>
      <c r="S1366" s="78"/>
      <c r="T1366" s="83"/>
    </row>
    <row r="1367" spans="1:20" ht="15" customHeight="1" x14ac:dyDescent="0.3">
      <c r="A1367" s="73"/>
      <c r="B1367" s="74"/>
      <c r="C1367" s="75"/>
      <c r="D1367" s="76"/>
      <c r="E1367" s="77"/>
      <c r="F1367" s="78"/>
      <c r="G1367" s="78"/>
      <c r="H1367" s="79"/>
      <c r="I1367" s="80"/>
      <c r="J1367" s="77"/>
      <c r="K1367" s="81" t="b">
        <v>0</v>
      </c>
      <c r="L1367" s="78"/>
      <c r="M1367" s="82"/>
      <c r="N1367" s="78"/>
      <c r="O1367" s="78"/>
      <c r="P1367" s="78"/>
      <c r="Q1367" s="78"/>
      <c r="R1367" s="78"/>
      <c r="S1367" s="78"/>
      <c r="T1367" s="83"/>
    </row>
    <row r="1368" spans="1:20" ht="15" customHeight="1" x14ac:dyDescent="0.3">
      <c r="A1368" s="73"/>
      <c r="B1368" s="74"/>
      <c r="C1368" s="75"/>
      <c r="D1368" s="76"/>
      <c r="E1368" s="77"/>
      <c r="F1368" s="78"/>
      <c r="G1368" s="78"/>
      <c r="H1368" s="79"/>
      <c r="I1368" s="80"/>
      <c r="J1368" s="77"/>
      <c r="K1368" s="81" t="b">
        <v>0</v>
      </c>
      <c r="L1368" s="78"/>
      <c r="M1368" s="82"/>
      <c r="N1368" s="78"/>
      <c r="O1368" s="78"/>
      <c r="P1368" s="78"/>
      <c r="Q1368" s="78"/>
      <c r="R1368" s="78"/>
      <c r="S1368" s="78"/>
      <c r="T1368" s="83"/>
    </row>
    <row r="1369" spans="1:20" ht="15" customHeight="1" x14ac:dyDescent="0.3">
      <c r="A1369" s="73"/>
      <c r="B1369" s="74"/>
      <c r="C1369" s="75"/>
      <c r="D1369" s="76"/>
      <c r="E1369" s="77"/>
      <c r="F1369" s="78"/>
      <c r="G1369" s="78"/>
      <c r="H1369" s="79"/>
      <c r="I1369" s="80"/>
      <c r="J1369" s="77"/>
      <c r="K1369" s="81" t="b">
        <v>0</v>
      </c>
      <c r="L1369" s="78"/>
      <c r="M1369" s="82"/>
      <c r="N1369" s="78"/>
      <c r="O1369" s="78"/>
      <c r="P1369" s="78"/>
      <c r="Q1369" s="78"/>
      <c r="R1369" s="78"/>
      <c r="S1369" s="78"/>
      <c r="T1369" s="83"/>
    </row>
    <row r="1370" spans="1:20" ht="15" customHeight="1" x14ac:dyDescent="0.3">
      <c r="A1370" s="73"/>
      <c r="B1370" s="74"/>
      <c r="C1370" s="75"/>
      <c r="D1370" s="76"/>
      <c r="E1370" s="77"/>
      <c r="F1370" s="78"/>
      <c r="G1370" s="78"/>
      <c r="H1370" s="79"/>
      <c r="I1370" s="80"/>
      <c r="J1370" s="77"/>
      <c r="K1370" s="81" t="b">
        <v>0</v>
      </c>
      <c r="L1370" s="78"/>
      <c r="M1370" s="82"/>
      <c r="N1370" s="78"/>
      <c r="O1370" s="78"/>
      <c r="P1370" s="78"/>
      <c r="Q1370" s="78"/>
      <c r="R1370" s="78"/>
      <c r="S1370" s="78"/>
      <c r="T1370" s="83"/>
    </row>
    <row r="1371" spans="1:20" ht="15" customHeight="1" x14ac:dyDescent="0.3">
      <c r="A1371" s="73"/>
      <c r="B1371" s="74"/>
      <c r="C1371" s="75"/>
      <c r="D1371" s="76"/>
      <c r="E1371" s="77"/>
      <c r="F1371" s="78"/>
      <c r="G1371" s="78"/>
      <c r="H1371" s="79"/>
      <c r="I1371" s="80"/>
      <c r="J1371" s="77"/>
      <c r="K1371" s="81" t="b">
        <v>0</v>
      </c>
      <c r="L1371" s="78"/>
      <c r="M1371" s="82"/>
      <c r="N1371" s="78"/>
      <c r="O1371" s="78"/>
      <c r="P1371" s="78"/>
      <c r="Q1371" s="78"/>
      <c r="R1371" s="78"/>
      <c r="S1371" s="78"/>
      <c r="T1371" s="83"/>
    </row>
    <row r="1372" spans="1:20" ht="15" customHeight="1" x14ac:dyDescent="0.3">
      <c r="A1372" s="73"/>
      <c r="B1372" s="74"/>
      <c r="C1372" s="75"/>
      <c r="D1372" s="76"/>
      <c r="E1372" s="77"/>
      <c r="F1372" s="78"/>
      <c r="G1372" s="78"/>
      <c r="H1372" s="79"/>
      <c r="I1372" s="80"/>
      <c r="J1372" s="77"/>
      <c r="K1372" s="81" t="b">
        <v>0</v>
      </c>
      <c r="L1372" s="78"/>
      <c r="M1372" s="82"/>
      <c r="N1372" s="78"/>
      <c r="O1372" s="78"/>
      <c r="P1372" s="78"/>
      <c r="Q1372" s="78"/>
      <c r="R1372" s="78"/>
      <c r="S1372" s="78"/>
      <c r="T1372" s="83"/>
    </row>
    <row r="1373" spans="1:20" ht="15" customHeight="1" x14ac:dyDescent="0.3">
      <c r="A1373" s="73"/>
      <c r="B1373" s="74"/>
      <c r="C1373" s="75"/>
      <c r="D1373" s="76"/>
      <c r="E1373" s="77"/>
      <c r="F1373" s="78"/>
      <c r="G1373" s="78"/>
      <c r="H1373" s="79"/>
      <c r="I1373" s="80"/>
      <c r="J1373" s="77"/>
      <c r="K1373" s="81" t="b">
        <v>0</v>
      </c>
      <c r="L1373" s="78"/>
      <c r="M1373" s="82"/>
      <c r="N1373" s="78"/>
      <c r="O1373" s="78"/>
      <c r="P1373" s="78"/>
      <c r="Q1373" s="78"/>
      <c r="R1373" s="78"/>
      <c r="S1373" s="78"/>
      <c r="T1373" s="83"/>
    </row>
    <row r="1374" spans="1:20" ht="15" customHeight="1" x14ac:dyDescent="0.3">
      <c r="A1374" s="73"/>
      <c r="B1374" s="74"/>
      <c r="C1374" s="75"/>
      <c r="D1374" s="76"/>
      <c r="E1374" s="77"/>
      <c r="F1374" s="78"/>
      <c r="G1374" s="78"/>
      <c r="H1374" s="79"/>
      <c r="I1374" s="80"/>
      <c r="J1374" s="77"/>
      <c r="K1374" s="81" t="b">
        <v>0</v>
      </c>
      <c r="L1374" s="78"/>
      <c r="M1374" s="82"/>
      <c r="N1374" s="78"/>
      <c r="O1374" s="78"/>
      <c r="P1374" s="78"/>
      <c r="Q1374" s="78"/>
      <c r="R1374" s="78"/>
      <c r="S1374" s="78"/>
      <c r="T1374" s="83"/>
    </row>
    <row r="1375" spans="1:20" ht="15" customHeight="1" x14ac:dyDescent="0.3">
      <c r="A1375" s="73"/>
      <c r="B1375" s="74"/>
      <c r="C1375" s="75"/>
      <c r="D1375" s="76"/>
      <c r="E1375" s="77"/>
      <c r="F1375" s="78"/>
      <c r="G1375" s="78"/>
      <c r="H1375" s="79"/>
      <c r="I1375" s="80"/>
      <c r="J1375" s="77"/>
      <c r="K1375" s="81" t="b">
        <v>0</v>
      </c>
      <c r="L1375" s="78"/>
      <c r="M1375" s="82"/>
      <c r="N1375" s="78"/>
      <c r="O1375" s="78"/>
      <c r="P1375" s="78"/>
      <c r="Q1375" s="78"/>
      <c r="R1375" s="78"/>
      <c r="S1375" s="78"/>
      <c r="T1375" s="83"/>
    </row>
    <row r="1376" spans="1:20" ht="15" customHeight="1" x14ac:dyDescent="0.3">
      <c r="A1376" s="73"/>
      <c r="B1376" s="74"/>
      <c r="C1376" s="75"/>
      <c r="D1376" s="76"/>
      <c r="E1376" s="77"/>
      <c r="F1376" s="78"/>
      <c r="G1376" s="78"/>
      <c r="H1376" s="79"/>
      <c r="I1376" s="80"/>
      <c r="J1376" s="77"/>
      <c r="K1376" s="81" t="b">
        <v>0</v>
      </c>
      <c r="L1376" s="78"/>
      <c r="M1376" s="82"/>
      <c r="N1376" s="78"/>
      <c r="O1376" s="78"/>
      <c r="P1376" s="78"/>
      <c r="Q1376" s="78"/>
      <c r="R1376" s="78"/>
      <c r="S1376" s="78"/>
      <c r="T1376" s="83"/>
    </row>
    <row r="1377" spans="1:20" ht="15" customHeight="1" x14ac:dyDescent="0.3">
      <c r="A1377" s="73"/>
      <c r="B1377" s="74"/>
      <c r="C1377" s="75"/>
      <c r="D1377" s="76"/>
      <c r="E1377" s="77"/>
      <c r="F1377" s="78"/>
      <c r="G1377" s="78"/>
      <c r="H1377" s="79"/>
      <c r="I1377" s="80"/>
      <c r="J1377" s="77"/>
      <c r="K1377" s="81" t="b">
        <v>0</v>
      </c>
      <c r="L1377" s="78"/>
      <c r="M1377" s="82"/>
      <c r="N1377" s="78"/>
      <c r="O1377" s="78"/>
      <c r="P1377" s="78"/>
      <c r="Q1377" s="78"/>
      <c r="R1377" s="78"/>
      <c r="S1377" s="78"/>
      <c r="T1377" s="83"/>
    </row>
    <row r="1378" spans="1:20" ht="15" customHeight="1" x14ac:dyDescent="0.3">
      <c r="A1378" s="73"/>
      <c r="B1378" s="74"/>
      <c r="C1378" s="75"/>
      <c r="D1378" s="76"/>
      <c r="E1378" s="77"/>
      <c r="F1378" s="78"/>
      <c r="G1378" s="78"/>
      <c r="H1378" s="79"/>
      <c r="I1378" s="80"/>
      <c r="J1378" s="77"/>
      <c r="K1378" s="81" t="b">
        <v>0</v>
      </c>
      <c r="L1378" s="78"/>
      <c r="M1378" s="82"/>
      <c r="N1378" s="78"/>
      <c r="O1378" s="78"/>
      <c r="P1378" s="78"/>
      <c r="Q1378" s="78"/>
      <c r="R1378" s="78"/>
      <c r="S1378" s="78"/>
      <c r="T1378" s="83"/>
    </row>
    <row r="1379" spans="1:20" ht="15" customHeight="1" x14ac:dyDescent="0.3">
      <c r="A1379" s="73"/>
      <c r="B1379" s="74"/>
      <c r="C1379" s="75"/>
      <c r="D1379" s="76"/>
      <c r="E1379" s="77"/>
      <c r="F1379" s="78"/>
      <c r="G1379" s="78"/>
      <c r="H1379" s="79"/>
      <c r="I1379" s="80"/>
      <c r="J1379" s="77"/>
      <c r="K1379" s="81" t="b">
        <v>0</v>
      </c>
      <c r="L1379" s="78"/>
      <c r="M1379" s="82"/>
      <c r="N1379" s="78"/>
      <c r="O1379" s="78"/>
      <c r="P1379" s="78"/>
      <c r="Q1379" s="78"/>
      <c r="R1379" s="78"/>
      <c r="S1379" s="78"/>
      <c r="T1379" s="83"/>
    </row>
    <row r="1380" spans="1:20" ht="15" customHeight="1" x14ac:dyDescent="0.3">
      <c r="A1380" s="73"/>
      <c r="B1380" s="74"/>
      <c r="C1380" s="75"/>
      <c r="D1380" s="76"/>
      <c r="E1380" s="77"/>
      <c r="F1380" s="78"/>
      <c r="G1380" s="78"/>
      <c r="H1380" s="79"/>
      <c r="I1380" s="80"/>
      <c r="J1380" s="77"/>
      <c r="K1380" s="81" t="b">
        <v>0</v>
      </c>
      <c r="L1380" s="78"/>
      <c r="M1380" s="82"/>
      <c r="N1380" s="78"/>
      <c r="O1380" s="78"/>
      <c r="P1380" s="78"/>
      <c r="Q1380" s="78"/>
      <c r="R1380" s="78"/>
      <c r="S1380" s="78"/>
      <c r="T1380" s="83"/>
    </row>
    <row r="1381" spans="1:20" ht="15" customHeight="1" x14ac:dyDescent="0.3">
      <c r="A1381" s="73"/>
      <c r="B1381" s="74"/>
      <c r="C1381" s="75"/>
      <c r="D1381" s="76"/>
      <c r="E1381" s="77"/>
      <c r="F1381" s="78"/>
      <c r="G1381" s="78"/>
      <c r="H1381" s="79"/>
      <c r="I1381" s="80"/>
      <c r="J1381" s="77"/>
      <c r="K1381" s="81" t="b">
        <v>0</v>
      </c>
      <c r="L1381" s="78"/>
      <c r="M1381" s="82"/>
      <c r="N1381" s="78"/>
      <c r="O1381" s="78"/>
      <c r="P1381" s="78"/>
      <c r="Q1381" s="78"/>
      <c r="R1381" s="78"/>
      <c r="S1381" s="78"/>
      <c r="T1381" s="83"/>
    </row>
    <row r="1382" spans="1:20" ht="15" customHeight="1" x14ac:dyDescent="0.3">
      <c r="A1382" s="73"/>
      <c r="B1382" s="74"/>
      <c r="C1382" s="75"/>
      <c r="D1382" s="76"/>
      <c r="E1382" s="77"/>
      <c r="F1382" s="78"/>
      <c r="G1382" s="78"/>
      <c r="H1382" s="79"/>
      <c r="I1382" s="80"/>
      <c r="J1382" s="77"/>
      <c r="K1382" s="81" t="b">
        <v>0</v>
      </c>
      <c r="L1382" s="78"/>
      <c r="M1382" s="82"/>
      <c r="N1382" s="78"/>
      <c r="O1382" s="78"/>
      <c r="P1382" s="78"/>
      <c r="Q1382" s="78"/>
      <c r="R1382" s="78"/>
      <c r="S1382" s="78"/>
      <c r="T1382" s="83"/>
    </row>
    <row r="1383" spans="1:20" ht="15" customHeight="1" x14ac:dyDescent="0.3">
      <c r="A1383" s="73"/>
      <c r="B1383" s="74"/>
      <c r="C1383" s="75"/>
      <c r="D1383" s="76"/>
      <c r="E1383" s="77"/>
      <c r="F1383" s="78"/>
      <c r="G1383" s="78"/>
      <c r="H1383" s="79"/>
      <c r="I1383" s="80"/>
      <c r="J1383" s="77"/>
      <c r="K1383" s="81" t="b">
        <v>0</v>
      </c>
      <c r="L1383" s="78"/>
      <c r="M1383" s="82"/>
      <c r="N1383" s="78"/>
      <c r="O1383" s="78"/>
      <c r="P1383" s="78"/>
      <c r="Q1383" s="78"/>
      <c r="R1383" s="78"/>
      <c r="S1383" s="78"/>
      <c r="T1383" s="83"/>
    </row>
    <row r="1384" spans="1:20" ht="15" customHeight="1" x14ac:dyDescent="0.3">
      <c r="A1384" s="73"/>
      <c r="B1384" s="74"/>
      <c r="C1384" s="75"/>
      <c r="D1384" s="76"/>
      <c r="E1384" s="77"/>
      <c r="F1384" s="78"/>
      <c r="G1384" s="78"/>
      <c r="H1384" s="79"/>
      <c r="I1384" s="80"/>
      <c r="J1384" s="77"/>
      <c r="K1384" s="81" t="b">
        <v>0</v>
      </c>
      <c r="L1384" s="78"/>
      <c r="M1384" s="82"/>
      <c r="N1384" s="78"/>
      <c r="O1384" s="78"/>
      <c r="P1384" s="78"/>
      <c r="Q1384" s="78"/>
      <c r="R1384" s="78"/>
      <c r="S1384" s="78"/>
      <c r="T1384" s="83"/>
    </row>
    <row r="1385" spans="1:20" ht="15" customHeight="1" x14ac:dyDescent="0.3">
      <c r="A1385" s="73"/>
      <c r="B1385" s="74"/>
      <c r="C1385" s="75"/>
      <c r="D1385" s="76"/>
      <c r="E1385" s="77"/>
      <c r="F1385" s="78"/>
      <c r="G1385" s="78"/>
      <c r="H1385" s="79"/>
      <c r="I1385" s="80"/>
      <c r="J1385" s="77"/>
      <c r="K1385" s="81" t="b">
        <v>0</v>
      </c>
      <c r="L1385" s="78"/>
      <c r="M1385" s="82"/>
      <c r="N1385" s="78"/>
      <c r="O1385" s="78"/>
      <c r="P1385" s="78"/>
      <c r="Q1385" s="78"/>
      <c r="R1385" s="78"/>
      <c r="S1385" s="78"/>
      <c r="T1385" s="83"/>
    </row>
    <row r="1386" spans="1:20" ht="15" customHeight="1" x14ac:dyDescent="0.3">
      <c r="A1386" s="73"/>
      <c r="B1386" s="74"/>
      <c r="C1386" s="75"/>
      <c r="D1386" s="76"/>
      <c r="E1386" s="77"/>
      <c r="F1386" s="78"/>
      <c r="G1386" s="78"/>
      <c r="H1386" s="79"/>
      <c r="I1386" s="80"/>
      <c r="J1386" s="77"/>
      <c r="K1386" s="81" t="b">
        <v>0</v>
      </c>
      <c r="L1386" s="78"/>
      <c r="M1386" s="82"/>
      <c r="N1386" s="78"/>
      <c r="O1386" s="78"/>
      <c r="P1386" s="78"/>
      <c r="Q1386" s="78"/>
      <c r="R1386" s="78"/>
      <c r="S1386" s="78"/>
      <c r="T1386" s="83"/>
    </row>
    <row r="1387" spans="1:20" ht="15" customHeight="1" x14ac:dyDescent="0.3">
      <c r="A1387" s="73"/>
      <c r="B1387" s="74"/>
      <c r="C1387" s="75"/>
      <c r="D1387" s="76"/>
      <c r="E1387" s="77"/>
      <c r="F1387" s="78"/>
      <c r="G1387" s="78"/>
      <c r="H1387" s="79"/>
      <c r="I1387" s="80"/>
      <c r="J1387" s="77"/>
      <c r="K1387" s="81" t="b">
        <v>0</v>
      </c>
      <c r="L1387" s="78"/>
      <c r="M1387" s="82"/>
      <c r="N1387" s="78"/>
      <c r="O1387" s="78"/>
      <c r="P1387" s="78"/>
      <c r="Q1387" s="78"/>
      <c r="R1387" s="78"/>
      <c r="S1387" s="78"/>
      <c r="T1387" s="83"/>
    </row>
    <row r="1388" spans="1:20" ht="15" customHeight="1" x14ac:dyDescent="0.3">
      <c r="A1388" s="73"/>
      <c r="B1388" s="74"/>
      <c r="C1388" s="75"/>
      <c r="D1388" s="76"/>
      <c r="E1388" s="77"/>
      <c r="F1388" s="78"/>
      <c r="G1388" s="78"/>
      <c r="H1388" s="79"/>
      <c r="I1388" s="80"/>
      <c r="J1388" s="77"/>
      <c r="K1388" s="81" t="b">
        <v>0</v>
      </c>
      <c r="L1388" s="78"/>
      <c r="M1388" s="82"/>
      <c r="N1388" s="78"/>
      <c r="O1388" s="78"/>
      <c r="P1388" s="78"/>
      <c r="Q1388" s="78"/>
      <c r="R1388" s="78"/>
      <c r="S1388" s="78"/>
      <c r="T1388" s="83"/>
    </row>
    <row r="1389" spans="1:20" ht="15" customHeight="1" x14ac:dyDescent="0.3">
      <c r="A1389" s="73"/>
      <c r="B1389" s="74"/>
      <c r="C1389" s="75"/>
      <c r="D1389" s="76"/>
      <c r="E1389" s="77"/>
      <c r="F1389" s="78"/>
      <c r="G1389" s="78"/>
      <c r="H1389" s="79"/>
      <c r="I1389" s="80"/>
      <c r="J1389" s="77"/>
      <c r="K1389" s="81" t="b">
        <v>0</v>
      </c>
      <c r="L1389" s="78"/>
      <c r="M1389" s="82"/>
      <c r="N1389" s="78"/>
      <c r="O1389" s="78"/>
      <c r="P1389" s="78"/>
      <c r="Q1389" s="78"/>
      <c r="R1389" s="78"/>
      <c r="S1389" s="78"/>
      <c r="T1389" s="83"/>
    </row>
    <row r="1390" spans="1:20" ht="15" customHeight="1" x14ac:dyDescent="0.3">
      <c r="A1390" s="73"/>
      <c r="B1390" s="74"/>
      <c r="C1390" s="75"/>
      <c r="D1390" s="76"/>
      <c r="E1390" s="77"/>
      <c r="F1390" s="78"/>
      <c r="G1390" s="78"/>
      <c r="H1390" s="79"/>
      <c r="I1390" s="80"/>
      <c r="J1390" s="77"/>
      <c r="K1390" s="81" t="b">
        <v>0</v>
      </c>
      <c r="L1390" s="78"/>
      <c r="M1390" s="82"/>
      <c r="N1390" s="78"/>
      <c r="O1390" s="78"/>
      <c r="P1390" s="78"/>
      <c r="Q1390" s="78"/>
      <c r="R1390" s="78"/>
      <c r="S1390" s="78"/>
      <c r="T1390" s="83"/>
    </row>
    <row r="1391" spans="1:20" ht="15" customHeight="1" x14ac:dyDescent="0.3">
      <c r="A1391" s="73"/>
      <c r="B1391" s="74"/>
      <c r="C1391" s="75"/>
      <c r="D1391" s="76"/>
      <c r="E1391" s="77"/>
      <c r="F1391" s="78"/>
      <c r="G1391" s="78"/>
      <c r="H1391" s="79"/>
      <c r="I1391" s="80"/>
      <c r="J1391" s="77"/>
      <c r="K1391" s="81" t="b">
        <v>0</v>
      </c>
      <c r="L1391" s="78"/>
      <c r="M1391" s="82"/>
      <c r="N1391" s="78"/>
      <c r="O1391" s="78"/>
      <c r="P1391" s="78"/>
      <c r="Q1391" s="78"/>
      <c r="R1391" s="78"/>
      <c r="S1391" s="78"/>
      <c r="T1391" s="83"/>
    </row>
    <row r="1392" spans="1:20" ht="15" customHeight="1" x14ac:dyDescent="0.3">
      <c r="A1392" s="73"/>
      <c r="B1392" s="74"/>
      <c r="C1392" s="75"/>
      <c r="D1392" s="76"/>
      <c r="E1392" s="77"/>
      <c r="F1392" s="78"/>
      <c r="G1392" s="78"/>
      <c r="H1392" s="79"/>
      <c r="I1392" s="80"/>
      <c r="J1392" s="77"/>
      <c r="K1392" s="81" t="b">
        <v>0</v>
      </c>
      <c r="L1392" s="78"/>
      <c r="M1392" s="82"/>
      <c r="N1392" s="78"/>
      <c r="O1392" s="78"/>
      <c r="P1392" s="78"/>
      <c r="Q1392" s="78"/>
      <c r="R1392" s="78"/>
      <c r="S1392" s="78"/>
      <c r="T1392" s="83"/>
    </row>
    <row r="1393" spans="1:20" ht="15" customHeight="1" x14ac:dyDescent="0.3">
      <c r="A1393" s="73"/>
      <c r="B1393" s="74"/>
      <c r="C1393" s="75"/>
      <c r="D1393" s="76"/>
      <c r="E1393" s="77"/>
      <c r="F1393" s="78"/>
      <c r="G1393" s="78"/>
      <c r="H1393" s="79"/>
      <c r="I1393" s="80"/>
      <c r="J1393" s="77"/>
      <c r="K1393" s="81" t="b">
        <v>0</v>
      </c>
      <c r="L1393" s="78"/>
      <c r="M1393" s="82"/>
      <c r="N1393" s="78"/>
      <c r="O1393" s="78"/>
      <c r="P1393" s="78"/>
      <c r="Q1393" s="78"/>
      <c r="R1393" s="78"/>
      <c r="S1393" s="78"/>
      <c r="T1393" s="83"/>
    </row>
    <row r="1394" spans="1:20" ht="15" customHeight="1" x14ac:dyDescent="0.3">
      <c r="A1394" s="73"/>
      <c r="B1394" s="74"/>
      <c r="C1394" s="75"/>
      <c r="D1394" s="76"/>
      <c r="E1394" s="77"/>
      <c r="F1394" s="78"/>
      <c r="G1394" s="78"/>
      <c r="H1394" s="79"/>
      <c r="I1394" s="80"/>
      <c r="J1394" s="77"/>
      <c r="K1394" s="81" t="b">
        <v>0</v>
      </c>
      <c r="L1394" s="78"/>
      <c r="M1394" s="82"/>
      <c r="N1394" s="78"/>
      <c r="O1394" s="78"/>
      <c r="P1394" s="78"/>
      <c r="Q1394" s="78"/>
      <c r="R1394" s="78"/>
      <c r="S1394" s="78"/>
      <c r="T1394" s="83"/>
    </row>
    <row r="1395" spans="1:20" ht="15" customHeight="1" x14ac:dyDescent="0.3">
      <c r="A1395" s="73"/>
      <c r="B1395" s="74"/>
      <c r="C1395" s="75"/>
      <c r="D1395" s="76"/>
      <c r="E1395" s="77"/>
      <c r="F1395" s="78"/>
      <c r="G1395" s="78"/>
      <c r="H1395" s="79"/>
      <c r="I1395" s="80"/>
      <c r="J1395" s="77"/>
      <c r="K1395" s="81" t="b">
        <v>0</v>
      </c>
      <c r="L1395" s="78"/>
      <c r="M1395" s="82"/>
      <c r="N1395" s="78"/>
      <c r="O1395" s="78"/>
      <c r="P1395" s="78"/>
      <c r="Q1395" s="78"/>
      <c r="R1395" s="78"/>
      <c r="S1395" s="78"/>
      <c r="T1395" s="83"/>
    </row>
    <row r="1396" spans="1:20" ht="15" customHeight="1" x14ac:dyDescent="0.3">
      <c r="A1396" s="73"/>
      <c r="B1396" s="74"/>
      <c r="C1396" s="75"/>
      <c r="D1396" s="76"/>
      <c r="E1396" s="77"/>
      <c r="F1396" s="78"/>
      <c r="G1396" s="78"/>
      <c r="H1396" s="79"/>
      <c r="I1396" s="80"/>
      <c r="J1396" s="77"/>
      <c r="K1396" s="81" t="b">
        <v>0</v>
      </c>
      <c r="L1396" s="78"/>
      <c r="M1396" s="82"/>
      <c r="N1396" s="78"/>
      <c r="O1396" s="78"/>
      <c r="P1396" s="78"/>
      <c r="Q1396" s="78"/>
      <c r="R1396" s="78"/>
      <c r="S1396" s="78"/>
      <c r="T1396" s="83"/>
    </row>
    <row r="1397" spans="1:20" ht="15" customHeight="1" x14ac:dyDescent="0.3">
      <c r="A1397" s="73"/>
      <c r="B1397" s="74"/>
      <c r="C1397" s="75"/>
      <c r="D1397" s="76"/>
      <c r="E1397" s="77"/>
      <c r="F1397" s="78"/>
      <c r="G1397" s="78"/>
      <c r="H1397" s="79"/>
      <c r="I1397" s="80"/>
      <c r="J1397" s="77"/>
      <c r="K1397" s="81" t="b">
        <v>0</v>
      </c>
      <c r="L1397" s="78"/>
      <c r="M1397" s="82"/>
      <c r="N1397" s="78"/>
      <c r="O1397" s="78"/>
      <c r="P1397" s="78"/>
      <c r="Q1397" s="78"/>
      <c r="R1397" s="78"/>
      <c r="S1397" s="78"/>
      <c r="T1397" s="83"/>
    </row>
    <row r="1398" spans="1:20" ht="15" customHeight="1" x14ac:dyDescent="0.3">
      <c r="A1398" s="73"/>
      <c r="B1398" s="74"/>
      <c r="C1398" s="75"/>
      <c r="D1398" s="76"/>
      <c r="E1398" s="77"/>
      <c r="F1398" s="78"/>
      <c r="G1398" s="78"/>
      <c r="H1398" s="79"/>
      <c r="I1398" s="80"/>
      <c r="J1398" s="77"/>
      <c r="K1398" s="81" t="b">
        <v>0</v>
      </c>
      <c r="L1398" s="78"/>
      <c r="M1398" s="82"/>
      <c r="N1398" s="78"/>
      <c r="O1398" s="78"/>
      <c r="P1398" s="78"/>
      <c r="Q1398" s="78"/>
      <c r="R1398" s="78"/>
      <c r="S1398" s="78"/>
      <c r="T1398" s="83"/>
    </row>
    <row r="1399" spans="1:20" ht="15" customHeight="1" x14ac:dyDescent="0.3">
      <c r="A1399" s="73"/>
      <c r="B1399" s="74"/>
      <c r="C1399" s="75"/>
      <c r="D1399" s="76"/>
      <c r="E1399" s="77"/>
      <c r="F1399" s="78"/>
      <c r="G1399" s="78"/>
      <c r="H1399" s="79"/>
      <c r="I1399" s="80"/>
      <c r="J1399" s="77"/>
      <c r="K1399" s="81" t="b">
        <v>0</v>
      </c>
      <c r="L1399" s="78"/>
      <c r="M1399" s="82"/>
      <c r="N1399" s="78"/>
      <c r="O1399" s="78"/>
      <c r="P1399" s="78"/>
      <c r="Q1399" s="78"/>
      <c r="R1399" s="78"/>
      <c r="S1399" s="78"/>
      <c r="T1399" s="83"/>
    </row>
    <row r="1400" spans="1:20" ht="15" customHeight="1" x14ac:dyDescent="0.3">
      <c r="A1400" s="73"/>
      <c r="B1400" s="74"/>
      <c r="C1400" s="75"/>
      <c r="D1400" s="76"/>
      <c r="E1400" s="77"/>
      <c r="F1400" s="78"/>
      <c r="G1400" s="78"/>
      <c r="H1400" s="79"/>
      <c r="I1400" s="80"/>
      <c r="J1400" s="77"/>
      <c r="K1400" s="81" t="b">
        <v>0</v>
      </c>
      <c r="L1400" s="78"/>
      <c r="M1400" s="82"/>
      <c r="N1400" s="78"/>
      <c r="O1400" s="78"/>
      <c r="P1400" s="78"/>
      <c r="Q1400" s="78"/>
      <c r="R1400" s="78"/>
      <c r="S1400" s="78"/>
      <c r="T1400" s="83"/>
    </row>
    <row r="1401" spans="1:20" ht="15" customHeight="1" x14ac:dyDescent="0.3">
      <c r="A1401" s="73"/>
      <c r="B1401" s="74"/>
      <c r="C1401" s="75"/>
      <c r="D1401" s="76"/>
      <c r="E1401" s="77"/>
      <c r="F1401" s="78"/>
      <c r="G1401" s="78"/>
      <c r="H1401" s="79"/>
      <c r="I1401" s="80"/>
      <c r="J1401" s="77"/>
      <c r="K1401" s="81" t="b">
        <v>0</v>
      </c>
      <c r="L1401" s="78"/>
      <c r="M1401" s="82"/>
      <c r="N1401" s="78"/>
      <c r="O1401" s="78"/>
      <c r="P1401" s="78"/>
      <c r="Q1401" s="78"/>
      <c r="R1401" s="78"/>
      <c r="S1401" s="78"/>
      <c r="T1401" s="83"/>
    </row>
    <row r="1402" spans="1:20" ht="15" customHeight="1" x14ac:dyDescent="0.3">
      <c r="A1402" s="73"/>
      <c r="B1402" s="74"/>
      <c r="C1402" s="75"/>
      <c r="D1402" s="76"/>
      <c r="E1402" s="77"/>
      <c r="F1402" s="78"/>
      <c r="G1402" s="78"/>
      <c r="H1402" s="79"/>
      <c r="I1402" s="80"/>
      <c r="J1402" s="77"/>
      <c r="K1402" s="81" t="b">
        <v>0</v>
      </c>
      <c r="L1402" s="78"/>
      <c r="M1402" s="82"/>
      <c r="N1402" s="78"/>
      <c r="O1402" s="78"/>
      <c r="P1402" s="78"/>
      <c r="Q1402" s="78"/>
      <c r="R1402" s="78"/>
      <c r="S1402" s="78"/>
      <c r="T1402" s="83"/>
    </row>
    <row r="1403" spans="1:20" ht="15" customHeight="1" x14ac:dyDescent="0.3">
      <c r="A1403" s="73"/>
      <c r="B1403" s="74"/>
      <c r="C1403" s="75"/>
      <c r="D1403" s="76"/>
      <c r="E1403" s="77"/>
      <c r="F1403" s="78"/>
      <c r="G1403" s="78"/>
      <c r="H1403" s="79"/>
      <c r="I1403" s="80"/>
      <c r="J1403" s="77"/>
      <c r="K1403" s="81" t="b">
        <v>0</v>
      </c>
      <c r="L1403" s="78"/>
      <c r="M1403" s="82"/>
      <c r="N1403" s="78"/>
      <c r="O1403" s="78"/>
      <c r="P1403" s="78"/>
      <c r="Q1403" s="78"/>
      <c r="R1403" s="78"/>
      <c r="S1403" s="78"/>
      <c r="T1403" s="83"/>
    </row>
    <row r="1404" spans="1:20" ht="15" customHeight="1" x14ac:dyDescent="0.3">
      <c r="A1404" s="73"/>
      <c r="B1404" s="74"/>
      <c r="C1404" s="75"/>
      <c r="D1404" s="76"/>
      <c r="E1404" s="77"/>
      <c r="F1404" s="78"/>
      <c r="G1404" s="78"/>
      <c r="H1404" s="79"/>
      <c r="I1404" s="80"/>
      <c r="J1404" s="77"/>
      <c r="K1404" s="81" t="b">
        <v>0</v>
      </c>
      <c r="L1404" s="78"/>
      <c r="M1404" s="82"/>
      <c r="N1404" s="78"/>
      <c r="O1404" s="78"/>
      <c r="P1404" s="78"/>
      <c r="Q1404" s="78"/>
      <c r="R1404" s="78"/>
      <c r="S1404" s="78"/>
      <c r="T1404" s="83"/>
    </row>
    <row r="1405" spans="1:20" ht="15" customHeight="1" x14ac:dyDescent="0.3">
      <c r="A1405" s="73"/>
      <c r="B1405" s="74"/>
      <c r="C1405" s="75"/>
      <c r="D1405" s="76"/>
      <c r="E1405" s="77"/>
      <c r="F1405" s="78"/>
      <c r="G1405" s="78"/>
      <c r="H1405" s="79"/>
      <c r="I1405" s="80"/>
      <c r="J1405" s="77"/>
      <c r="K1405" s="81" t="b">
        <v>0</v>
      </c>
      <c r="L1405" s="78"/>
      <c r="M1405" s="82"/>
      <c r="N1405" s="78"/>
      <c r="O1405" s="78"/>
      <c r="P1405" s="78"/>
      <c r="Q1405" s="78"/>
      <c r="R1405" s="78"/>
      <c r="S1405" s="78"/>
      <c r="T1405" s="83"/>
    </row>
    <row r="1406" spans="1:20" ht="15" customHeight="1" x14ac:dyDescent="0.3">
      <c r="A1406" s="73"/>
      <c r="B1406" s="74"/>
      <c r="C1406" s="75"/>
      <c r="D1406" s="76"/>
      <c r="E1406" s="77"/>
      <c r="F1406" s="78"/>
      <c r="G1406" s="78"/>
      <c r="H1406" s="79"/>
      <c r="I1406" s="80"/>
      <c r="J1406" s="77"/>
      <c r="K1406" s="81" t="b">
        <v>0</v>
      </c>
      <c r="L1406" s="78"/>
      <c r="M1406" s="82"/>
      <c r="N1406" s="78"/>
      <c r="O1406" s="78"/>
      <c r="P1406" s="78"/>
      <c r="Q1406" s="78"/>
      <c r="R1406" s="78"/>
      <c r="S1406" s="78"/>
      <c r="T1406" s="83"/>
    </row>
    <row r="1407" spans="1:20" ht="15" customHeight="1" x14ac:dyDescent="0.3">
      <c r="A1407" s="73"/>
      <c r="B1407" s="74"/>
      <c r="C1407" s="75"/>
      <c r="D1407" s="76"/>
      <c r="E1407" s="77"/>
      <c r="F1407" s="78"/>
      <c r="G1407" s="78"/>
      <c r="H1407" s="79"/>
      <c r="I1407" s="80"/>
      <c r="J1407" s="77"/>
      <c r="K1407" s="81" t="b">
        <v>0</v>
      </c>
      <c r="L1407" s="78"/>
      <c r="M1407" s="82"/>
      <c r="N1407" s="78"/>
      <c r="O1407" s="78"/>
      <c r="P1407" s="78"/>
      <c r="Q1407" s="78"/>
      <c r="R1407" s="78"/>
      <c r="S1407" s="78"/>
      <c r="T1407" s="83"/>
    </row>
    <row r="1408" spans="1:20" ht="15" customHeight="1" x14ac:dyDescent="0.3">
      <c r="A1408" s="73"/>
      <c r="B1408" s="74"/>
      <c r="C1408" s="75"/>
      <c r="D1408" s="76"/>
      <c r="E1408" s="77"/>
      <c r="F1408" s="78"/>
      <c r="G1408" s="78"/>
      <c r="H1408" s="79"/>
      <c r="I1408" s="80"/>
      <c r="J1408" s="77"/>
      <c r="K1408" s="81" t="b">
        <v>0</v>
      </c>
      <c r="L1408" s="78"/>
      <c r="M1408" s="82"/>
      <c r="N1408" s="78"/>
      <c r="O1408" s="78"/>
      <c r="P1408" s="78"/>
      <c r="Q1408" s="78"/>
      <c r="R1408" s="78"/>
      <c r="S1408" s="78"/>
      <c r="T1408" s="83"/>
    </row>
    <row r="1409" spans="1:20" ht="15" customHeight="1" x14ac:dyDescent="0.3">
      <c r="A1409" s="73"/>
      <c r="B1409" s="74"/>
      <c r="C1409" s="75"/>
      <c r="D1409" s="76"/>
      <c r="E1409" s="77"/>
      <c r="F1409" s="78"/>
      <c r="G1409" s="78"/>
      <c r="H1409" s="79"/>
      <c r="I1409" s="80"/>
      <c r="J1409" s="77"/>
      <c r="K1409" s="81" t="b">
        <v>0</v>
      </c>
      <c r="L1409" s="78"/>
      <c r="M1409" s="82"/>
      <c r="N1409" s="78"/>
      <c r="O1409" s="78"/>
      <c r="P1409" s="78"/>
      <c r="Q1409" s="78"/>
      <c r="R1409" s="78"/>
      <c r="S1409" s="78"/>
      <c r="T1409" s="83"/>
    </row>
    <row r="1410" spans="1:20" ht="15" customHeight="1" x14ac:dyDescent="0.3">
      <c r="A1410" s="73"/>
      <c r="B1410" s="74"/>
      <c r="C1410" s="75"/>
      <c r="D1410" s="76"/>
      <c r="E1410" s="77"/>
      <c r="F1410" s="78"/>
      <c r="G1410" s="78"/>
      <c r="H1410" s="79"/>
      <c r="I1410" s="80"/>
      <c r="J1410" s="77"/>
      <c r="K1410" s="81" t="b">
        <v>0</v>
      </c>
      <c r="L1410" s="78"/>
      <c r="M1410" s="82"/>
      <c r="N1410" s="78"/>
      <c r="O1410" s="78"/>
      <c r="P1410" s="78"/>
      <c r="Q1410" s="78"/>
      <c r="R1410" s="78"/>
      <c r="S1410" s="78"/>
      <c r="T1410" s="83"/>
    </row>
    <row r="1411" spans="1:20" ht="15" customHeight="1" x14ac:dyDescent="0.3">
      <c r="A1411" s="73"/>
      <c r="B1411" s="74"/>
      <c r="C1411" s="75"/>
      <c r="D1411" s="76"/>
      <c r="E1411" s="77"/>
      <c r="F1411" s="78"/>
      <c r="G1411" s="78"/>
      <c r="H1411" s="79"/>
      <c r="I1411" s="80"/>
      <c r="J1411" s="77"/>
      <c r="K1411" s="81" t="b">
        <v>0</v>
      </c>
      <c r="L1411" s="78"/>
      <c r="M1411" s="82"/>
      <c r="N1411" s="78"/>
      <c r="O1411" s="78"/>
      <c r="P1411" s="78"/>
      <c r="Q1411" s="78"/>
      <c r="R1411" s="78"/>
      <c r="S1411" s="78"/>
      <c r="T1411" s="83"/>
    </row>
    <row r="1412" spans="1:20" ht="15" customHeight="1" x14ac:dyDescent="0.3">
      <c r="A1412" s="73"/>
      <c r="B1412" s="74"/>
      <c r="C1412" s="75"/>
      <c r="D1412" s="76"/>
      <c r="E1412" s="77"/>
      <c r="F1412" s="78"/>
      <c r="G1412" s="78"/>
      <c r="H1412" s="79"/>
      <c r="I1412" s="80"/>
      <c r="J1412" s="77"/>
      <c r="K1412" s="81" t="b">
        <v>0</v>
      </c>
      <c r="L1412" s="78"/>
      <c r="M1412" s="82"/>
      <c r="N1412" s="78"/>
      <c r="O1412" s="78"/>
      <c r="P1412" s="78"/>
      <c r="Q1412" s="78"/>
      <c r="R1412" s="78"/>
      <c r="S1412" s="78"/>
      <c r="T1412" s="83"/>
    </row>
    <row r="1413" spans="1:20" ht="15" customHeight="1" x14ac:dyDescent="0.3">
      <c r="A1413" s="73"/>
      <c r="B1413" s="74"/>
      <c r="C1413" s="75"/>
      <c r="D1413" s="76"/>
      <c r="E1413" s="77"/>
      <c r="F1413" s="78"/>
      <c r="G1413" s="78"/>
      <c r="H1413" s="79"/>
      <c r="I1413" s="80"/>
      <c r="J1413" s="77"/>
      <c r="K1413" s="81" t="b">
        <v>0</v>
      </c>
      <c r="L1413" s="78"/>
      <c r="M1413" s="82"/>
      <c r="N1413" s="78"/>
      <c r="O1413" s="78"/>
      <c r="P1413" s="78"/>
      <c r="Q1413" s="78"/>
      <c r="R1413" s="78"/>
      <c r="S1413" s="78"/>
      <c r="T1413" s="83"/>
    </row>
    <row r="1414" spans="1:20" ht="15" customHeight="1" x14ac:dyDescent="0.3">
      <c r="A1414" s="73"/>
      <c r="B1414" s="74"/>
      <c r="C1414" s="75"/>
      <c r="D1414" s="76"/>
      <c r="E1414" s="77"/>
      <c r="F1414" s="78"/>
      <c r="G1414" s="78"/>
      <c r="H1414" s="79"/>
      <c r="I1414" s="80"/>
      <c r="J1414" s="77"/>
      <c r="K1414" s="81" t="b">
        <v>0</v>
      </c>
      <c r="L1414" s="78"/>
      <c r="M1414" s="82"/>
      <c r="N1414" s="78"/>
      <c r="O1414" s="78"/>
      <c r="P1414" s="78"/>
      <c r="Q1414" s="78"/>
      <c r="R1414" s="78"/>
      <c r="S1414" s="78"/>
      <c r="T1414" s="83"/>
    </row>
    <row r="1415" spans="1:20" ht="15" customHeight="1" x14ac:dyDescent="0.3">
      <c r="A1415" s="73"/>
      <c r="B1415" s="74"/>
      <c r="C1415" s="75"/>
      <c r="D1415" s="76"/>
      <c r="E1415" s="77"/>
      <c r="F1415" s="78"/>
      <c r="G1415" s="78"/>
      <c r="H1415" s="79"/>
      <c r="I1415" s="80"/>
      <c r="J1415" s="77"/>
      <c r="K1415" s="81" t="b">
        <v>0</v>
      </c>
      <c r="L1415" s="78"/>
      <c r="M1415" s="82"/>
      <c r="N1415" s="78"/>
      <c r="O1415" s="78"/>
      <c r="P1415" s="78"/>
      <c r="Q1415" s="78"/>
      <c r="R1415" s="78"/>
      <c r="S1415" s="78"/>
      <c r="T1415" s="83"/>
    </row>
    <row r="1416" spans="1:20" ht="15" customHeight="1" x14ac:dyDescent="0.3">
      <c r="A1416" s="73"/>
      <c r="B1416" s="74"/>
      <c r="C1416" s="75"/>
      <c r="D1416" s="76"/>
      <c r="E1416" s="77"/>
      <c r="F1416" s="78"/>
      <c r="G1416" s="78"/>
      <c r="H1416" s="79"/>
      <c r="I1416" s="80"/>
      <c r="J1416" s="77"/>
      <c r="K1416" s="81" t="b">
        <v>0</v>
      </c>
      <c r="L1416" s="78"/>
      <c r="M1416" s="82"/>
      <c r="N1416" s="78"/>
      <c r="O1416" s="78"/>
      <c r="P1416" s="78"/>
      <c r="Q1416" s="78"/>
      <c r="R1416" s="78"/>
      <c r="S1416" s="78"/>
      <c r="T1416" s="83"/>
    </row>
    <row r="1417" spans="1:20" ht="15" customHeight="1" x14ac:dyDescent="0.3">
      <c r="A1417" s="73"/>
      <c r="B1417" s="74"/>
      <c r="C1417" s="75"/>
      <c r="D1417" s="76"/>
      <c r="E1417" s="77"/>
      <c r="F1417" s="78"/>
      <c r="G1417" s="78"/>
      <c r="H1417" s="79"/>
      <c r="I1417" s="80"/>
      <c r="J1417" s="77"/>
      <c r="K1417" s="81" t="b">
        <v>0</v>
      </c>
      <c r="L1417" s="78"/>
      <c r="M1417" s="82"/>
      <c r="N1417" s="78"/>
      <c r="O1417" s="78"/>
      <c r="P1417" s="78"/>
      <c r="Q1417" s="78"/>
      <c r="R1417" s="78"/>
      <c r="S1417" s="78"/>
      <c r="T1417" s="83"/>
    </row>
    <row r="1418" spans="1:20" ht="15" customHeight="1" x14ac:dyDescent="0.3">
      <c r="A1418" s="73"/>
      <c r="B1418" s="74"/>
      <c r="C1418" s="75"/>
      <c r="D1418" s="76"/>
      <c r="E1418" s="77"/>
      <c r="F1418" s="78"/>
      <c r="G1418" s="78"/>
      <c r="H1418" s="79"/>
      <c r="I1418" s="80"/>
      <c r="J1418" s="77"/>
      <c r="K1418" s="81" t="b">
        <v>0</v>
      </c>
      <c r="L1418" s="78"/>
      <c r="M1418" s="82"/>
      <c r="N1418" s="78"/>
      <c r="O1418" s="78"/>
      <c r="P1418" s="78"/>
      <c r="Q1418" s="78"/>
      <c r="R1418" s="78"/>
      <c r="S1418" s="78"/>
      <c r="T1418" s="83"/>
    </row>
    <row r="1419" spans="1:20" ht="15" customHeight="1" x14ac:dyDescent="0.3">
      <c r="A1419" s="73"/>
      <c r="B1419" s="74"/>
      <c r="C1419" s="75"/>
      <c r="D1419" s="76"/>
      <c r="E1419" s="77"/>
      <c r="F1419" s="78"/>
      <c r="G1419" s="78"/>
      <c r="H1419" s="79"/>
      <c r="I1419" s="80"/>
      <c r="J1419" s="77"/>
      <c r="K1419" s="81" t="b">
        <v>0</v>
      </c>
      <c r="L1419" s="78"/>
      <c r="M1419" s="82"/>
      <c r="N1419" s="78"/>
      <c r="O1419" s="78"/>
      <c r="P1419" s="78"/>
      <c r="Q1419" s="78"/>
      <c r="R1419" s="78"/>
      <c r="S1419" s="78"/>
      <c r="T1419" s="83"/>
    </row>
    <row r="1420" spans="1:20" ht="15" customHeight="1" x14ac:dyDescent="0.3">
      <c r="A1420" s="73"/>
      <c r="B1420" s="74"/>
      <c r="C1420" s="75"/>
      <c r="D1420" s="76"/>
      <c r="E1420" s="77"/>
      <c r="F1420" s="78"/>
      <c r="G1420" s="78"/>
      <c r="H1420" s="79"/>
      <c r="I1420" s="80"/>
      <c r="J1420" s="77"/>
      <c r="K1420" s="81" t="b">
        <v>0</v>
      </c>
      <c r="L1420" s="78"/>
      <c r="M1420" s="82"/>
      <c r="N1420" s="78"/>
      <c r="O1420" s="78"/>
      <c r="P1420" s="78"/>
      <c r="Q1420" s="78"/>
      <c r="R1420" s="78"/>
      <c r="S1420" s="78"/>
      <c r="T1420" s="83"/>
    </row>
    <row r="1421" spans="1:20" ht="15" customHeight="1" x14ac:dyDescent="0.3">
      <c r="A1421" s="73"/>
      <c r="B1421" s="74"/>
      <c r="C1421" s="75"/>
      <c r="D1421" s="76"/>
      <c r="E1421" s="77"/>
      <c r="F1421" s="78"/>
      <c r="G1421" s="78"/>
      <c r="H1421" s="79"/>
      <c r="I1421" s="80"/>
      <c r="J1421" s="77"/>
      <c r="K1421" s="81" t="b">
        <v>0</v>
      </c>
      <c r="L1421" s="78"/>
      <c r="M1421" s="82"/>
      <c r="N1421" s="78"/>
      <c r="O1421" s="78"/>
      <c r="P1421" s="78"/>
      <c r="Q1421" s="78"/>
      <c r="R1421" s="78"/>
      <c r="S1421" s="78"/>
      <c r="T1421" s="83"/>
    </row>
    <row r="1422" spans="1:20" ht="15" customHeight="1" x14ac:dyDescent="0.3">
      <c r="A1422" s="73"/>
      <c r="B1422" s="74"/>
      <c r="C1422" s="75"/>
      <c r="D1422" s="76"/>
      <c r="E1422" s="77"/>
      <c r="F1422" s="78"/>
      <c r="G1422" s="78"/>
      <c r="H1422" s="79"/>
      <c r="I1422" s="80"/>
      <c r="J1422" s="77"/>
      <c r="K1422" s="81" t="b">
        <v>0</v>
      </c>
      <c r="L1422" s="78"/>
      <c r="M1422" s="82"/>
      <c r="N1422" s="78"/>
      <c r="O1422" s="78"/>
      <c r="P1422" s="78"/>
      <c r="Q1422" s="78"/>
      <c r="R1422" s="78"/>
      <c r="S1422" s="78"/>
      <c r="T1422" s="83"/>
    </row>
    <row r="1423" spans="1:20" ht="15" customHeight="1" x14ac:dyDescent="0.3">
      <c r="A1423" s="73"/>
      <c r="B1423" s="74"/>
      <c r="C1423" s="75"/>
      <c r="D1423" s="76"/>
      <c r="E1423" s="77"/>
      <c r="F1423" s="78"/>
      <c r="G1423" s="78"/>
      <c r="H1423" s="79"/>
      <c r="I1423" s="80"/>
      <c r="J1423" s="77"/>
      <c r="K1423" s="81" t="b">
        <v>0</v>
      </c>
      <c r="L1423" s="78"/>
      <c r="M1423" s="82"/>
      <c r="N1423" s="78"/>
      <c r="O1423" s="78"/>
      <c r="P1423" s="78"/>
      <c r="Q1423" s="78"/>
      <c r="R1423" s="78"/>
      <c r="S1423" s="78"/>
      <c r="T1423" s="83"/>
    </row>
    <row r="1424" spans="1:20" ht="15" customHeight="1" x14ac:dyDescent="0.3">
      <c r="A1424" s="73"/>
      <c r="B1424" s="74"/>
      <c r="C1424" s="75"/>
      <c r="D1424" s="76"/>
      <c r="E1424" s="77"/>
      <c r="F1424" s="78"/>
      <c r="G1424" s="78"/>
      <c r="H1424" s="79"/>
      <c r="I1424" s="80"/>
      <c r="J1424" s="77"/>
      <c r="K1424" s="81" t="b">
        <v>0</v>
      </c>
      <c r="L1424" s="78"/>
      <c r="M1424" s="82"/>
      <c r="N1424" s="78"/>
      <c r="O1424" s="78"/>
      <c r="P1424" s="78"/>
      <c r="Q1424" s="78"/>
      <c r="R1424" s="78"/>
      <c r="S1424" s="78"/>
      <c r="T1424" s="83"/>
    </row>
    <row r="1425" spans="1:20" ht="15" customHeight="1" x14ac:dyDescent="0.3">
      <c r="A1425" s="73"/>
      <c r="B1425" s="74"/>
      <c r="C1425" s="75"/>
      <c r="D1425" s="76"/>
      <c r="E1425" s="77"/>
      <c r="F1425" s="78"/>
      <c r="G1425" s="78"/>
      <c r="H1425" s="79"/>
      <c r="I1425" s="80"/>
      <c r="J1425" s="77"/>
      <c r="K1425" s="81" t="b">
        <v>0</v>
      </c>
      <c r="L1425" s="78"/>
      <c r="M1425" s="82"/>
      <c r="N1425" s="78"/>
      <c r="O1425" s="78"/>
      <c r="P1425" s="78"/>
      <c r="Q1425" s="78"/>
      <c r="R1425" s="78"/>
      <c r="S1425" s="78"/>
      <c r="T1425" s="83"/>
    </row>
    <row r="1426" spans="1:20" ht="15" customHeight="1" x14ac:dyDescent="0.3">
      <c r="A1426" s="73"/>
      <c r="B1426" s="74"/>
      <c r="C1426" s="75"/>
      <c r="D1426" s="76"/>
      <c r="E1426" s="77"/>
      <c r="F1426" s="78"/>
      <c r="G1426" s="78"/>
      <c r="H1426" s="79"/>
      <c r="I1426" s="80"/>
      <c r="J1426" s="77"/>
      <c r="K1426" s="81" t="b">
        <v>0</v>
      </c>
      <c r="L1426" s="78"/>
      <c r="M1426" s="82"/>
      <c r="N1426" s="78"/>
      <c r="O1426" s="78"/>
      <c r="P1426" s="78"/>
      <c r="Q1426" s="78"/>
      <c r="R1426" s="78"/>
      <c r="S1426" s="78"/>
      <c r="T1426" s="83"/>
    </row>
    <row r="1427" spans="1:20" ht="15" customHeight="1" x14ac:dyDescent="0.3">
      <c r="A1427" s="73"/>
      <c r="B1427" s="74"/>
      <c r="C1427" s="75"/>
      <c r="D1427" s="76"/>
      <c r="E1427" s="77"/>
      <c r="F1427" s="78"/>
      <c r="G1427" s="78"/>
      <c r="H1427" s="79"/>
      <c r="I1427" s="80"/>
      <c r="J1427" s="77"/>
      <c r="K1427" s="81" t="b">
        <v>0</v>
      </c>
      <c r="L1427" s="78"/>
      <c r="M1427" s="82"/>
      <c r="N1427" s="78"/>
      <c r="O1427" s="78"/>
      <c r="P1427" s="78"/>
      <c r="Q1427" s="78"/>
      <c r="R1427" s="78"/>
      <c r="S1427" s="78"/>
      <c r="T1427" s="83"/>
    </row>
    <row r="1428" spans="1:20" ht="15" customHeight="1" x14ac:dyDescent="0.3">
      <c r="A1428" s="73"/>
      <c r="B1428" s="74"/>
      <c r="C1428" s="75"/>
      <c r="D1428" s="76"/>
      <c r="E1428" s="77"/>
      <c r="F1428" s="78"/>
      <c r="G1428" s="78"/>
      <c r="H1428" s="79"/>
      <c r="I1428" s="80"/>
      <c r="J1428" s="77"/>
      <c r="K1428" s="81" t="b">
        <v>0</v>
      </c>
      <c r="L1428" s="78"/>
      <c r="M1428" s="82"/>
      <c r="N1428" s="78"/>
      <c r="O1428" s="78"/>
      <c r="P1428" s="78"/>
      <c r="Q1428" s="78"/>
      <c r="R1428" s="78"/>
      <c r="S1428" s="78"/>
      <c r="T1428" s="83"/>
    </row>
    <row r="1429" spans="1:20" ht="15" customHeight="1" x14ac:dyDescent="0.3">
      <c r="A1429" s="73"/>
      <c r="B1429" s="74"/>
      <c r="C1429" s="75"/>
      <c r="D1429" s="76"/>
      <c r="E1429" s="77"/>
      <c r="F1429" s="78"/>
      <c r="G1429" s="78"/>
      <c r="H1429" s="79"/>
      <c r="I1429" s="80"/>
      <c r="J1429" s="77"/>
      <c r="K1429" s="81" t="b">
        <v>0</v>
      </c>
      <c r="L1429" s="78"/>
      <c r="M1429" s="82"/>
      <c r="N1429" s="78"/>
      <c r="O1429" s="78"/>
      <c r="P1429" s="78"/>
      <c r="Q1429" s="78"/>
      <c r="R1429" s="78"/>
      <c r="S1429" s="78"/>
      <c r="T1429" s="83"/>
    </row>
    <row r="1430" spans="1:20" ht="15" customHeight="1" x14ac:dyDescent="0.3">
      <c r="A1430" s="73"/>
      <c r="B1430" s="74"/>
      <c r="C1430" s="75"/>
      <c r="D1430" s="76"/>
      <c r="E1430" s="77"/>
      <c r="F1430" s="78"/>
      <c r="G1430" s="78"/>
      <c r="H1430" s="79"/>
      <c r="I1430" s="80"/>
      <c r="J1430" s="77"/>
      <c r="K1430" s="81" t="b">
        <v>0</v>
      </c>
      <c r="L1430" s="78"/>
      <c r="M1430" s="82"/>
      <c r="N1430" s="78"/>
      <c r="O1430" s="78"/>
      <c r="P1430" s="78"/>
      <c r="Q1430" s="78"/>
      <c r="R1430" s="78"/>
      <c r="S1430" s="78"/>
      <c r="T1430" s="83"/>
    </row>
    <row r="1431" spans="1:20" ht="15" customHeight="1" x14ac:dyDescent="0.3">
      <c r="A1431" s="73"/>
      <c r="B1431" s="74"/>
      <c r="C1431" s="75"/>
      <c r="D1431" s="76"/>
      <c r="E1431" s="77"/>
      <c r="F1431" s="78"/>
      <c r="G1431" s="78"/>
      <c r="H1431" s="79"/>
      <c r="I1431" s="80"/>
      <c r="J1431" s="77"/>
      <c r="K1431" s="81" t="b">
        <v>0</v>
      </c>
      <c r="L1431" s="78"/>
      <c r="M1431" s="82"/>
      <c r="N1431" s="78"/>
      <c r="O1431" s="78"/>
      <c r="P1431" s="78"/>
      <c r="Q1431" s="78"/>
      <c r="R1431" s="78"/>
      <c r="S1431" s="78"/>
      <c r="T1431" s="83"/>
    </row>
    <row r="1432" spans="1:20" ht="15" customHeight="1" x14ac:dyDescent="0.3">
      <c r="A1432" s="73"/>
      <c r="B1432" s="74"/>
      <c r="C1432" s="75"/>
      <c r="D1432" s="76"/>
      <c r="E1432" s="77"/>
      <c r="F1432" s="78"/>
      <c r="G1432" s="78"/>
      <c r="H1432" s="79"/>
      <c r="I1432" s="80"/>
      <c r="J1432" s="77"/>
      <c r="K1432" s="81" t="b">
        <v>0</v>
      </c>
      <c r="L1432" s="78"/>
      <c r="M1432" s="82"/>
      <c r="N1432" s="78"/>
      <c r="O1432" s="78"/>
      <c r="P1432" s="78"/>
      <c r="Q1432" s="78"/>
      <c r="R1432" s="78"/>
      <c r="S1432" s="78"/>
      <c r="T1432" s="83"/>
    </row>
    <row r="1433" spans="1:20" ht="15" customHeight="1" x14ac:dyDescent="0.3">
      <c r="A1433" s="73"/>
      <c r="B1433" s="74"/>
      <c r="C1433" s="75"/>
      <c r="D1433" s="76"/>
      <c r="E1433" s="77"/>
      <c r="F1433" s="78"/>
      <c r="G1433" s="78"/>
      <c r="H1433" s="79"/>
      <c r="I1433" s="80"/>
      <c r="J1433" s="77"/>
      <c r="K1433" s="81" t="b">
        <v>0</v>
      </c>
      <c r="L1433" s="78"/>
      <c r="M1433" s="82"/>
      <c r="N1433" s="78"/>
      <c r="O1433" s="78"/>
      <c r="P1433" s="78"/>
      <c r="Q1433" s="78"/>
      <c r="R1433" s="78"/>
      <c r="S1433" s="78"/>
      <c r="T1433" s="83"/>
    </row>
    <row r="1434" spans="1:20" ht="15" customHeight="1" x14ac:dyDescent="0.3">
      <c r="A1434" s="73"/>
      <c r="B1434" s="74"/>
      <c r="C1434" s="75"/>
      <c r="D1434" s="76"/>
      <c r="E1434" s="77"/>
      <c r="F1434" s="78"/>
      <c r="G1434" s="78"/>
      <c r="H1434" s="79"/>
      <c r="I1434" s="80"/>
      <c r="J1434" s="77"/>
      <c r="K1434" s="81" t="b">
        <v>0</v>
      </c>
      <c r="L1434" s="78"/>
      <c r="M1434" s="82"/>
      <c r="N1434" s="78"/>
      <c r="O1434" s="78"/>
      <c r="P1434" s="78"/>
      <c r="Q1434" s="78"/>
      <c r="R1434" s="78"/>
      <c r="S1434" s="78"/>
      <c r="T1434" s="83"/>
    </row>
    <row r="1435" spans="1:20" ht="15" customHeight="1" x14ac:dyDescent="0.3">
      <c r="A1435" s="73"/>
      <c r="B1435" s="74"/>
      <c r="C1435" s="75"/>
      <c r="D1435" s="76"/>
      <c r="E1435" s="77"/>
      <c r="F1435" s="78"/>
      <c r="G1435" s="78"/>
      <c r="H1435" s="79"/>
      <c r="I1435" s="80"/>
      <c r="J1435" s="77"/>
      <c r="K1435" s="81" t="b">
        <v>0</v>
      </c>
      <c r="L1435" s="78"/>
      <c r="M1435" s="82"/>
      <c r="N1435" s="78"/>
      <c r="O1435" s="78"/>
      <c r="P1435" s="78"/>
      <c r="Q1435" s="78"/>
      <c r="R1435" s="78"/>
      <c r="S1435" s="78"/>
      <c r="T1435" s="83"/>
    </row>
    <row r="1436" spans="1:20" ht="15" customHeight="1" x14ac:dyDescent="0.3">
      <c r="A1436" s="73"/>
      <c r="B1436" s="74"/>
      <c r="C1436" s="75"/>
      <c r="D1436" s="76"/>
      <c r="E1436" s="77"/>
      <c r="F1436" s="78"/>
      <c r="G1436" s="78"/>
      <c r="H1436" s="79"/>
      <c r="I1436" s="80"/>
      <c r="J1436" s="77"/>
      <c r="K1436" s="81" t="b">
        <v>0</v>
      </c>
      <c r="L1436" s="78"/>
      <c r="M1436" s="82"/>
      <c r="N1436" s="78"/>
      <c r="O1436" s="78"/>
      <c r="P1436" s="78"/>
      <c r="Q1436" s="78"/>
      <c r="R1436" s="78"/>
      <c r="S1436" s="78"/>
      <c r="T1436" s="83"/>
    </row>
    <row r="1437" spans="1:20" ht="15" customHeight="1" x14ac:dyDescent="0.3">
      <c r="A1437" s="73"/>
      <c r="B1437" s="74"/>
      <c r="C1437" s="75"/>
      <c r="D1437" s="76"/>
      <c r="E1437" s="77"/>
      <c r="F1437" s="78"/>
      <c r="G1437" s="78"/>
      <c r="H1437" s="79"/>
      <c r="I1437" s="80"/>
      <c r="J1437" s="77"/>
      <c r="K1437" s="81" t="b">
        <v>0</v>
      </c>
      <c r="L1437" s="78"/>
      <c r="M1437" s="82"/>
      <c r="N1437" s="78"/>
      <c r="O1437" s="78"/>
      <c r="P1437" s="78"/>
      <c r="Q1437" s="78"/>
      <c r="R1437" s="78"/>
      <c r="S1437" s="78"/>
      <c r="T1437" s="83"/>
    </row>
    <row r="1438" spans="1:20" ht="15" customHeight="1" x14ac:dyDescent="0.3">
      <c r="A1438" s="73"/>
      <c r="B1438" s="74"/>
      <c r="C1438" s="75"/>
      <c r="D1438" s="76"/>
      <c r="E1438" s="77"/>
      <c r="F1438" s="78"/>
      <c r="G1438" s="78"/>
      <c r="H1438" s="79"/>
      <c r="I1438" s="80"/>
      <c r="J1438" s="77"/>
      <c r="K1438" s="81" t="b">
        <v>0</v>
      </c>
      <c r="L1438" s="78"/>
      <c r="M1438" s="82"/>
      <c r="N1438" s="78"/>
      <c r="O1438" s="78"/>
      <c r="P1438" s="78"/>
      <c r="Q1438" s="78"/>
      <c r="R1438" s="78"/>
      <c r="S1438" s="78"/>
      <c r="T1438" s="83"/>
    </row>
    <row r="1439" spans="1:20" ht="15" customHeight="1" x14ac:dyDescent="0.3">
      <c r="A1439" s="73"/>
      <c r="B1439" s="74"/>
      <c r="C1439" s="75"/>
      <c r="D1439" s="76"/>
      <c r="E1439" s="77"/>
      <c r="F1439" s="78"/>
      <c r="G1439" s="78"/>
      <c r="H1439" s="79"/>
      <c r="I1439" s="80"/>
      <c r="J1439" s="77"/>
      <c r="K1439" s="81" t="b">
        <v>0</v>
      </c>
      <c r="L1439" s="78"/>
      <c r="M1439" s="82"/>
      <c r="N1439" s="78"/>
      <c r="O1439" s="78"/>
      <c r="P1439" s="78"/>
      <c r="Q1439" s="78"/>
      <c r="R1439" s="78"/>
      <c r="S1439" s="78"/>
      <c r="T1439" s="83"/>
    </row>
    <row r="1440" spans="1:20" ht="15" customHeight="1" x14ac:dyDescent="0.3">
      <c r="A1440" s="73"/>
      <c r="B1440" s="74"/>
      <c r="C1440" s="75"/>
      <c r="D1440" s="76"/>
      <c r="E1440" s="77"/>
      <c r="F1440" s="78"/>
      <c r="G1440" s="78"/>
      <c r="H1440" s="79"/>
      <c r="I1440" s="80"/>
      <c r="J1440" s="77"/>
      <c r="K1440" s="81" t="b">
        <v>0</v>
      </c>
      <c r="L1440" s="78"/>
      <c r="M1440" s="82"/>
      <c r="N1440" s="78"/>
      <c r="O1440" s="78"/>
      <c r="P1440" s="78"/>
      <c r="Q1440" s="78"/>
      <c r="R1440" s="78"/>
      <c r="S1440" s="78"/>
      <c r="T1440" s="83"/>
    </row>
    <row r="1441" spans="1:20" ht="15" customHeight="1" x14ac:dyDescent="0.3">
      <c r="A1441" s="73"/>
      <c r="B1441" s="74"/>
      <c r="C1441" s="75"/>
      <c r="D1441" s="76"/>
      <c r="E1441" s="77"/>
      <c r="F1441" s="78"/>
      <c r="G1441" s="78"/>
      <c r="H1441" s="79"/>
      <c r="I1441" s="80"/>
      <c r="J1441" s="77"/>
      <c r="K1441" s="81" t="b">
        <v>0</v>
      </c>
      <c r="L1441" s="78"/>
      <c r="M1441" s="82"/>
      <c r="N1441" s="78"/>
      <c r="O1441" s="78"/>
      <c r="P1441" s="78"/>
      <c r="Q1441" s="78"/>
      <c r="R1441" s="78"/>
      <c r="S1441" s="78"/>
      <c r="T1441" s="83"/>
    </row>
    <row r="1442" spans="1:20" ht="15" customHeight="1" x14ac:dyDescent="0.3">
      <c r="A1442" s="73"/>
      <c r="B1442" s="74"/>
      <c r="C1442" s="75"/>
      <c r="D1442" s="76"/>
      <c r="E1442" s="77"/>
      <c r="F1442" s="78"/>
      <c r="G1442" s="78"/>
      <c r="H1442" s="79"/>
      <c r="I1442" s="80"/>
      <c r="J1442" s="77"/>
      <c r="K1442" s="81" t="b">
        <v>0</v>
      </c>
      <c r="L1442" s="78"/>
      <c r="M1442" s="82"/>
      <c r="N1442" s="78"/>
      <c r="O1442" s="78"/>
      <c r="P1442" s="78"/>
      <c r="Q1442" s="78"/>
      <c r="R1442" s="78"/>
      <c r="S1442" s="78"/>
      <c r="T1442" s="83"/>
    </row>
    <row r="1443" spans="1:20" ht="15" customHeight="1" x14ac:dyDescent="0.3">
      <c r="A1443" s="73"/>
      <c r="B1443" s="74"/>
      <c r="C1443" s="75"/>
      <c r="D1443" s="76"/>
      <c r="E1443" s="77"/>
      <c r="F1443" s="78"/>
      <c r="G1443" s="78"/>
      <c r="H1443" s="79"/>
      <c r="I1443" s="80"/>
      <c r="J1443" s="77"/>
      <c r="K1443" s="81" t="b">
        <v>0</v>
      </c>
      <c r="L1443" s="78"/>
      <c r="M1443" s="82"/>
      <c r="N1443" s="78"/>
      <c r="O1443" s="78"/>
      <c r="P1443" s="78"/>
      <c r="Q1443" s="78"/>
      <c r="R1443" s="78"/>
      <c r="S1443" s="78"/>
      <c r="T1443" s="83"/>
    </row>
    <row r="1444" spans="1:20" ht="15" customHeight="1" x14ac:dyDescent="0.3">
      <c r="A1444" s="73"/>
      <c r="B1444" s="74"/>
      <c r="C1444" s="75"/>
      <c r="D1444" s="76"/>
      <c r="E1444" s="77"/>
      <c r="F1444" s="78"/>
      <c r="G1444" s="78"/>
      <c r="H1444" s="79"/>
      <c r="I1444" s="80"/>
      <c r="J1444" s="77"/>
      <c r="K1444" s="81" t="b">
        <v>0</v>
      </c>
      <c r="L1444" s="78"/>
      <c r="M1444" s="82"/>
      <c r="N1444" s="78"/>
      <c r="O1444" s="78"/>
      <c r="P1444" s="78"/>
      <c r="Q1444" s="78"/>
      <c r="R1444" s="78"/>
      <c r="S1444" s="78"/>
      <c r="T1444" s="83"/>
    </row>
    <row r="1445" spans="1:20" ht="15" customHeight="1" x14ac:dyDescent="0.3">
      <c r="A1445" s="73"/>
      <c r="B1445" s="74"/>
      <c r="C1445" s="75"/>
      <c r="D1445" s="76"/>
      <c r="E1445" s="77"/>
      <c r="F1445" s="78"/>
      <c r="G1445" s="78"/>
      <c r="H1445" s="79"/>
      <c r="I1445" s="80"/>
      <c r="J1445" s="77"/>
      <c r="K1445" s="81" t="b">
        <v>0</v>
      </c>
      <c r="L1445" s="78"/>
      <c r="M1445" s="82"/>
      <c r="N1445" s="78"/>
      <c r="O1445" s="78"/>
      <c r="P1445" s="78"/>
      <c r="Q1445" s="78"/>
      <c r="R1445" s="78"/>
      <c r="S1445" s="78"/>
      <c r="T1445" s="83"/>
    </row>
    <row r="1446" spans="1:20" ht="15" customHeight="1" x14ac:dyDescent="0.3">
      <c r="A1446" s="73"/>
      <c r="B1446" s="74"/>
      <c r="C1446" s="75"/>
      <c r="D1446" s="76"/>
      <c r="E1446" s="77"/>
      <c r="F1446" s="78"/>
      <c r="G1446" s="78"/>
      <c r="H1446" s="79"/>
      <c r="I1446" s="80"/>
      <c r="J1446" s="77"/>
      <c r="K1446" s="81" t="b">
        <v>0</v>
      </c>
      <c r="L1446" s="78"/>
      <c r="M1446" s="82"/>
      <c r="N1446" s="78"/>
      <c r="O1446" s="78"/>
      <c r="P1446" s="78"/>
      <c r="Q1446" s="78"/>
      <c r="R1446" s="78"/>
      <c r="S1446" s="78"/>
      <c r="T1446" s="83"/>
    </row>
    <row r="1447" spans="1:20" ht="15" customHeight="1" x14ac:dyDescent="0.3">
      <c r="A1447" s="73"/>
      <c r="B1447" s="74"/>
      <c r="C1447" s="75"/>
      <c r="D1447" s="76"/>
      <c r="E1447" s="77"/>
      <c r="F1447" s="78"/>
      <c r="G1447" s="78"/>
      <c r="H1447" s="79"/>
      <c r="I1447" s="80"/>
      <c r="J1447" s="77"/>
      <c r="K1447" s="81" t="b">
        <v>0</v>
      </c>
      <c r="L1447" s="78"/>
      <c r="M1447" s="82"/>
      <c r="N1447" s="78"/>
      <c r="O1447" s="78"/>
      <c r="P1447" s="78"/>
      <c r="Q1447" s="78"/>
      <c r="R1447" s="78"/>
      <c r="S1447" s="78"/>
      <c r="T1447" s="83"/>
    </row>
    <row r="1448" spans="1:20" ht="15" customHeight="1" x14ac:dyDescent="0.3">
      <c r="A1448" s="73"/>
      <c r="B1448" s="74"/>
      <c r="C1448" s="75"/>
      <c r="D1448" s="76"/>
      <c r="E1448" s="77"/>
      <c r="F1448" s="78"/>
      <c r="G1448" s="78"/>
      <c r="H1448" s="79"/>
      <c r="I1448" s="80"/>
      <c r="J1448" s="77"/>
      <c r="K1448" s="81" t="b">
        <v>0</v>
      </c>
      <c r="L1448" s="78"/>
      <c r="M1448" s="82"/>
      <c r="N1448" s="78"/>
      <c r="O1448" s="78"/>
      <c r="P1448" s="78"/>
      <c r="Q1448" s="78"/>
      <c r="R1448" s="78"/>
      <c r="S1448" s="78"/>
      <c r="T1448" s="83"/>
    </row>
    <row r="1449" spans="1:20" ht="15" customHeight="1" x14ac:dyDescent="0.3">
      <c r="A1449" s="73"/>
      <c r="B1449" s="74"/>
      <c r="C1449" s="75"/>
      <c r="D1449" s="76"/>
      <c r="E1449" s="77"/>
      <c r="F1449" s="78"/>
      <c r="G1449" s="78"/>
      <c r="H1449" s="79"/>
      <c r="I1449" s="80"/>
      <c r="J1449" s="77"/>
      <c r="K1449" s="81" t="b">
        <v>0</v>
      </c>
      <c r="L1449" s="78"/>
      <c r="M1449" s="82"/>
      <c r="N1449" s="78"/>
      <c r="O1449" s="78"/>
      <c r="P1449" s="78"/>
      <c r="Q1449" s="78"/>
      <c r="R1449" s="78"/>
      <c r="S1449" s="78"/>
      <c r="T1449" s="83"/>
    </row>
    <row r="1450" spans="1:20" ht="15" customHeight="1" x14ac:dyDescent="0.3">
      <c r="A1450" s="73"/>
      <c r="B1450" s="74"/>
      <c r="C1450" s="75"/>
      <c r="D1450" s="76"/>
      <c r="E1450" s="77"/>
      <c r="F1450" s="78"/>
      <c r="G1450" s="78"/>
      <c r="H1450" s="79"/>
      <c r="I1450" s="80"/>
      <c r="J1450" s="77"/>
      <c r="K1450" s="81" t="b">
        <v>0</v>
      </c>
      <c r="L1450" s="78"/>
      <c r="M1450" s="82"/>
      <c r="N1450" s="78"/>
      <c r="O1450" s="78"/>
      <c r="P1450" s="78"/>
      <c r="Q1450" s="78"/>
      <c r="R1450" s="78"/>
      <c r="S1450" s="78"/>
      <c r="T1450" s="83"/>
    </row>
    <row r="1451" spans="1:20" ht="15" customHeight="1" x14ac:dyDescent="0.3">
      <c r="A1451" s="73"/>
      <c r="B1451" s="74"/>
      <c r="C1451" s="75"/>
      <c r="D1451" s="76"/>
      <c r="E1451" s="77"/>
      <c r="F1451" s="78"/>
      <c r="G1451" s="78"/>
      <c r="H1451" s="79"/>
      <c r="I1451" s="80"/>
      <c r="J1451" s="77"/>
      <c r="K1451" s="81" t="b">
        <v>0</v>
      </c>
      <c r="L1451" s="78"/>
      <c r="M1451" s="82"/>
      <c r="N1451" s="78"/>
      <c r="O1451" s="78"/>
      <c r="P1451" s="78"/>
      <c r="Q1451" s="78"/>
      <c r="R1451" s="78"/>
      <c r="S1451" s="78"/>
      <c r="T1451" s="83"/>
    </row>
    <row r="1452" spans="1:20" ht="15" customHeight="1" x14ac:dyDescent="0.3">
      <c r="A1452" s="73"/>
      <c r="B1452" s="74"/>
      <c r="C1452" s="75"/>
      <c r="D1452" s="76"/>
      <c r="E1452" s="77"/>
      <c r="F1452" s="78"/>
      <c r="G1452" s="78"/>
      <c r="H1452" s="79"/>
      <c r="I1452" s="80"/>
      <c r="J1452" s="77"/>
      <c r="K1452" s="81" t="b">
        <v>0</v>
      </c>
      <c r="L1452" s="78"/>
      <c r="M1452" s="82"/>
      <c r="N1452" s="78"/>
      <c r="O1452" s="78"/>
      <c r="P1452" s="78"/>
      <c r="Q1452" s="78"/>
      <c r="R1452" s="78"/>
      <c r="S1452" s="78"/>
      <c r="T1452" s="83"/>
    </row>
    <row r="1453" spans="1:20" ht="15" customHeight="1" x14ac:dyDescent="0.3">
      <c r="A1453" s="73"/>
      <c r="B1453" s="74"/>
      <c r="C1453" s="75"/>
      <c r="D1453" s="76"/>
      <c r="E1453" s="77"/>
      <c r="F1453" s="78"/>
      <c r="G1453" s="78"/>
      <c r="H1453" s="79"/>
      <c r="I1453" s="80"/>
      <c r="J1453" s="77"/>
      <c r="K1453" s="81" t="b">
        <v>0</v>
      </c>
      <c r="L1453" s="78"/>
      <c r="M1453" s="82"/>
      <c r="N1453" s="78"/>
      <c r="O1453" s="78"/>
      <c r="P1453" s="78"/>
      <c r="Q1453" s="78"/>
      <c r="R1453" s="78"/>
      <c r="S1453" s="78"/>
      <c r="T1453" s="83"/>
    </row>
    <row r="1454" spans="1:20" ht="15" customHeight="1" x14ac:dyDescent="0.3">
      <c r="A1454" s="73"/>
      <c r="B1454" s="74"/>
      <c r="C1454" s="75"/>
      <c r="D1454" s="76"/>
      <c r="E1454" s="77"/>
      <c r="F1454" s="78"/>
      <c r="G1454" s="78"/>
      <c r="H1454" s="79"/>
      <c r="I1454" s="80"/>
      <c r="J1454" s="77"/>
      <c r="K1454" s="81" t="b">
        <v>0</v>
      </c>
      <c r="L1454" s="78"/>
      <c r="M1454" s="82"/>
      <c r="N1454" s="78"/>
      <c r="O1454" s="78"/>
      <c r="P1454" s="78"/>
      <c r="Q1454" s="78"/>
      <c r="R1454" s="78"/>
      <c r="S1454" s="78"/>
      <c r="T1454" s="83"/>
    </row>
    <row r="1455" spans="1:20" ht="15" customHeight="1" x14ac:dyDescent="0.3">
      <c r="A1455" s="73"/>
      <c r="B1455" s="74"/>
      <c r="C1455" s="75"/>
      <c r="D1455" s="76"/>
      <c r="E1455" s="77"/>
      <c r="F1455" s="78"/>
      <c r="G1455" s="78"/>
      <c r="H1455" s="79"/>
      <c r="I1455" s="80"/>
      <c r="J1455" s="77"/>
      <c r="K1455" s="81" t="b">
        <v>0</v>
      </c>
      <c r="L1455" s="78"/>
      <c r="M1455" s="82"/>
      <c r="N1455" s="78"/>
      <c r="O1455" s="78"/>
      <c r="P1455" s="78"/>
      <c r="Q1455" s="78"/>
      <c r="R1455" s="78"/>
      <c r="S1455" s="78"/>
      <c r="T1455" s="83"/>
    </row>
    <row r="1456" spans="1:20" ht="15" customHeight="1" x14ac:dyDescent="0.3">
      <c r="A1456" s="73"/>
      <c r="B1456" s="74"/>
      <c r="C1456" s="75"/>
      <c r="D1456" s="76"/>
      <c r="E1456" s="77"/>
      <c r="F1456" s="78"/>
      <c r="G1456" s="78"/>
      <c r="H1456" s="79"/>
      <c r="I1456" s="80"/>
      <c r="J1456" s="77"/>
      <c r="K1456" s="81" t="b">
        <v>0</v>
      </c>
      <c r="L1456" s="78"/>
      <c r="M1456" s="82"/>
      <c r="N1456" s="78"/>
      <c r="O1456" s="78"/>
      <c r="P1456" s="78"/>
      <c r="Q1456" s="78"/>
      <c r="R1456" s="78"/>
      <c r="S1456" s="78"/>
      <c r="T1456" s="83"/>
    </row>
    <row r="1457" spans="1:20" ht="15" customHeight="1" x14ac:dyDescent="0.3">
      <c r="A1457" s="73"/>
      <c r="B1457" s="74"/>
      <c r="C1457" s="75"/>
      <c r="D1457" s="76"/>
      <c r="E1457" s="77"/>
      <c r="F1457" s="78"/>
      <c r="G1457" s="78"/>
      <c r="H1457" s="79"/>
      <c r="I1457" s="80"/>
      <c r="J1457" s="77"/>
      <c r="K1457" s="81" t="b">
        <v>0</v>
      </c>
      <c r="L1457" s="78"/>
      <c r="M1457" s="82"/>
      <c r="N1457" s="78"/>
      <c r="O1457" s="78"/>
      <c r="P1457" s="78"/>
      <c r="Q1457" s="78"/>
      <c r="R1457" s="78"/>
      <c r="S1457" s="78"/>
      <c r="T1457" s="83"/>
    </row>
    <row r="1458" spans="1:20" ht="15" customHeight="1" x14ac:dyDescent="0.3">
      <c r="A1458" s="73"/>
      <c r="B1458" s="74"/>
      <c r="C1458" s="75"/>
      <c r="D1458" s="76"/>
      <c r="E1458" s="77"/>
      <c r="F1458" s="78"/>
      <c r="G1458" s="78"/>
      <c r="H1458" s="79"/>
      <c r="I1458" s="80"/>
      <c r="J1458" s="77"/>
      <c r="K1458" s="81" t="b">
        <v>0</v>
      </c>
      <c r="L1458" s="78"/>
      <c r="M1458" s="82"/>
      <c r="N1458" s="78"/>
      <c r="O1458" s="78"/>
      <c r="P1458" s="78"/>
      <c r="Q1458" s="78"/>
      <c r="R1458" s="78"/>
      <c r="S1458" s="78"/>
      <c r="T1458" s="83"/>
    </row>
    <row r="1459" spans="1:20" ht="15" customHeight="1" x14ac:dyDescent="0.3">
      <c r="A1459" s="73"/>
      <c r="B1459" s="74"/>
      <c r="C1459" s="75"/>
      <c r="D1459" s="76"/>
      <c r="E1459" s="77"/>
      <c r="F1459" s="78"/>
      <c r="G1459" s="78"/>
      <c r="H1459" s="79"/>
      <c r="I1459" s="80"/>
      <c r="J1459" s="77"/>
      <c r="K1459" s="81" t="b">
        <v>0</v>
      </c>
      <c r="L1459" s="78"/>
      <c r="M1459" s="82"/>
      <c r="N1459" s="78"/>
      <c r="O1459" s="78"/>
      <c r="P1459" s="78"/>
      <c r="Q1459" s="78"/>
      <c r="R1459" s="78"/>
      <c r="S1459" s="78"/>
      <c r="T1459" s="83"/>
    </row>
    <row r="1460" spans="1:20" ht="15" customHeight="1" x14ac:dyDescent="0.3">
      <c r="A1460" s="73"/>
      <c r="B1460" s="74"/>
      <c r="C1460" s="75"/>
      <c r="D1460" s="76"/>
      <c r="E1460" s="77"/>
      <c r="F1460" s="78"/>
      <c r="G1460" s="78"/>
      <c r="H1460" s="79"/>
      <c r="I1460" s="80"/>
      <c r="J1460" s="77"/>
      <c r="K1460" s="81" t="b">
        <v>0</v>
      </c>
      <c r="L1460" s="78"/>
      <c r="M1460" s="82"/>
      <c r="N1460" s="78"/>
      <c r="O1460" s="78"/>
      <c r="P1460" s="78"/>
      <c r="Q1460" s="78"/>
      <c r="R1460" s="78"/>
      <c r="S1460" s="78"/>
      <c r="T1460" s="83"/>
    </row>
    <row r="1461" spans="1:20" ht="15" customHeight="1" x14ac:dyDescent="0.3">
      <c r="A1461" s="73"/>
      <c r="B1461" s="74"/>
      <c r="C1461" s="75"/>
      <c r="D1461" s="76"/>
      <c r="E1461" s="77"/>
      <c r="F1461" s="78"/>
      <c r="G1461" s="78"/>
      <c r="H1461" s="79"/>
      <c r="I1461" s="80"/>
      <c r="J1461" s="77"/>
      <c r="K1461" s="81" t="b">
        <v>0</v>
      </c>
      <c r="L1461" s="78"/>
      <c r="M1461" s="82"/>
      <c r="N1461" s="78"/>
      <c r="O1461" s="78"/>
      <c r="P1461" s="78"/>
      <c r="Q1461" s="78"/>
      <c r="R1461" s="78"/>
      <c r="S1461" s="78"/>
      <c r="T1461" s="83"/>
    </row>
    <row r="1462" spans="1:20" ht="15" customHeight="1" x14ac:dyDescent="0.3">
      <c r="A1462" s="73"/>
      <c r="B1462" s="74"/>
      <c r="C1462" s="75"/>
      <c r="D1462" s="76"/>
      <c r="E1462" s="77"/>
      <c r="F1462" s="78"/>
      <c r="G1462" s="78"/>
      <c r="H1462" s="79"/>
      <c r="I1462" s="80"/>
      <c r="J1462" s="77"/>
      <c r="K1462" s="81" t="b">
        <v>0</v>
      </c>
      <c r="L1462" s="78"/>
      <c r="M1462" s="82"/>
      <c r="N1462" s="78"/>
      <c r="O1462" s="78"/>
      <c r="P1462" s="78"/>
      <c r="Q1462" s="78"/>
      <c r="R1462" s="78"/>
      <c r="S1462" s="78"/>
      <c r="T1462" s="83"/>
    </row>
    <row r="1463" spans="1:20" ht="15" customHeight="1" x14ac:dyDescent="0.3">
      <c r="A1463" s="73"/>
      <c r="B1463" s="74"/>
      <c r="C1463" s="75"/>
      <c r="D1463" s="76"/>
      <c r="E1463" s="77"/>
      <c r="F1463" s="78"/>
      <c r="G1463" s="78"/>
      <c r="H1463" s="79"/>
      <c r="I1463" s="80"/>
      <c r="J1463" s="77"/>
      <c r="K1463" s="81" t="b">
        <v>0</v>
      </c>
      <c r="L1463" s="78"/>
      <c r="M1463" s="82"/>
      <c r="N1463" s="78"/>
      <c r="O1463" s="78"/>
      <c r="P1463" s="78"/>
      <c r="Q1463" s="78"/>
      <c r="R1463" s="78"/>
      <c r="S1463" s="78"/>
      <c r="T1463" s="83"/>
    </row>
    <row r="1464" spans="1:20" ht="15" customHeight="1" x14ac:dyDescent="0.3">
      <c r="A1464" s="73"/>
      <c r="B1464" s="74"/>
      <c r="C1464" s="75"/>
      <c r="D1464" s="76"/>
      <c r="E1464" s="77"/>
      <c r="F1464" s="78"/>
      <c r="G1464" s="78"/>
      <c r="H1464" s="79"/>
      <c r="I1464" s="80"/>
      <c r="J1464" s="77"/>
      <c r="K1464" s="81" t="b">
        <v>0</v>
      </c>
      <c r="L1464" s="78"/>
      <c r="M1464" s="82"/>
      <c r="N1464" s="78"/>
      <c r="O1464" s="78"/>
      <c r="P1464" s="78"/>
      <c r="Q1464" s="78"/>
      <c r="R1464" s="78"/>
      <c r="S1464" s="78"/>
      <c r="T1464" s="83"/>
    </row>
    <row r="1465" spans="1:20" ht="15" customHeight="1" x14ac:dyDescent="0.3">
      <c r="A1465" s="73"/>
      <c r="B1465" s="74"/>
      <c r="C1465" s="75"/>
      <c r="D1465" s="76"/>
      <c r="E1465" s="77"/>
      <c r="F1465" s="78"/>
      <c r="G1465" s="78"/>
      <c r="H1465" s="79"/>
      <c r="I1465" s="80"/>
      <c r="J1465" s="77"/>
      <c r="K1465" s="81" t="b">
        <v>0</v>
      </c>
      <c r="L1465" s="78"/>
      <c r="M1465" s="82"/>
      <c r="N1465" s="78"/>
      <c r="O1465" s="78"/>
      <c r="P1465" s="78"/>
      <c r="Q1465" s="78"/>
      <c r="R1465" s="78"/>
      <c r="S1465" s="78"/>
      <c r="T1465" s="83"/>
    </row>
    <row r="1466" spans="1:20" ht="15" customHeight="1" x14ac:dyDescent="0.3">
      <c r="A1466" s="73"/>
      <c r="B1466" s="74"/>
      <c r="C1466" s="75"/>
      <c r="D1466" s="76"/>
      <c r="E1466" s="77"/>
      <c r="F1466" s="78"/>
      <c r="G1466" s="78"/>
      <c r="H1466" s="79"/>
      <c r="I1466" s="80"/>
      <c r="J1466" s="77"/>
      <c r="K1466" s="81" t="b">
        <v>0</v>
      </c>
      <c r="L1466" s="78"/>
      <c r="M1466" s="82"/>
      <c r="N1466" s="78"/>
      <c r="O1466" s="78"/>
      <c r="P1466" s="78"/>
      <c r="Q1466" s="78"/>
      <c r="R1466" s="78"/>
      <c r="S1466" s="78"/>
      <c r="T1466" s="83"/>
    </row>
    <row r="1467" spans="1:20" ht="15" customHeight="1" x14ac:dyDescent="0.3">
      <c r="A1467" s="73"/>
      <c r="B1467" s="74"/>
      <c r="C1467" s="75"/>
      <c r="D1467" s="76"/>
      <c r="E1467" s="77"/>
      <c r="F1467" s="78"/>
      <c r="G1467" s="78"/>
      <c r="H1467" s="79"/>
      <c r="I1467" s="80"/>
      <c r="J1467" s="77"/>
      <c r="K1467" s="81" t="b">
        <v>0</v>
      </c>
      <c r="L1467" s="78"/>
      <c r="M1467" s="82"/>
      <c r="N1467" s="78"/>
      <c r="O1467" s="78"/>
      <c r="P1467" s="78"/>
      <c r="Q1467" s="78"/>
      <c r="R1467" s="78"/>
      <c r="S1467" s="78"/>
      <c r="T1467" s="83"/>
    </row>
    <row r="1468" spans="1:20" ht="15" customHeight="1" x14ac:dyDescent="0.3">
      <c r="A1468" s="73"/>
      <c r="B1468" s="74"/>
      <c r="C1468" s="75"/>
      <c r="D1468" s="76"/>
      <c r="E1468" s="77"/>
      <c r="F1468" s="78"/>
      <c r="G1468" s="78"/>
      <c r="H1468" s="79"/>
      <c r="I1468" s="80"/>
      <c r="J1468" s="77"/>
      <c r="K1468" s="81" t="b">
        <v>0</v>
      </c>
      <c r="L1468" s="78"/>
      <c r="M1468" s="82"/>
      <c r="N1468" s="78"/>
      <c r="O1468" s="78"/>
      <c r="P1468" s="78"/>
      <c r="Q1468" s="78"/>
      <c r="R1468" s="78"/>
      <c r="S1468" s="78"/>
      <c r="T1468" s="83"/>
    </row>
    <row r="1469" spans="1:20" ht="15" customHeight="1" x14ac:dyDescent="0.3">
      <c r="A1469" s="73"/>
      <c r="B1469" s="74"/>
      <c r="C1469" s="75"/>
      <c r="D1469" s="76"/>
      <c r="E1469" s="77"/>
      <c r="F1469" s="78"/>
      <c r="G1469" s="78"/>
      <c r="H1469" s="79"/>
      <c r="I1469" s="80"/>
      <c r="J1469" s="77"/>
      <c r="K1469" s="81" t="b">
        <v>0</v>
      </c>
      <c r="L1469" s="78"/>
      <c r="M1469" s="82"/>
      <c r="N1469" s="78"/>
      <c r="O1469" s="78"/>
      <c r="P1469" s="78"/>
      <c r="Q1469" s="78"/>
      <c r="R1469" s="78"/>
      <c r="S1469" s="78"/>
      <c r="T1469" s="83"/>
    </row>
    <row r="1470" spans="1:20" ht="15" customHeight="1" x14ac:dyDescent="0.3">
      <c r="A1470" s="73"/>
      <c r="B1470" s="74"/>
      <c r="C1470" s="75"/>
      <c r="D1470" s="76"/>
      <c r="E1470" s="77"/>
      <c r="F1470" s="78"/>
      <c r="G1470" s="78"/>
      <c r="H1470" s="79"/>
      <c r="I1470" s="80"/>
      <c r="J1470" s="77"/>
      <c r="K1470" s="81" t="b">
        <v>0</v>
      </c>
      <c r="L1470" s="78"/>
      <c r="M1470" s="82"/>
      <c r="N1470" s="78"/>
      <c r="O1470" s="78"/>
      <c r="P1470" s="78"/>
      <c r="Q1470" s="78"/>
      <c r="R1470" s="78"/>
      <c r="S1470" s="78"/>
      <c r="T1470" s="83"/>
    </row>
    <row r="1471" spans="1:20" ht="15" customHeight="1" x14ac:dyDescent="0.3">
      <c r="A1471" s="73"/>
      <c r="B1471" s="74"/>
      <c r="C1471" s="75"/>
      <c r="D1471" s="76"/>
      <c r="E1471" s="77"/>
      <c r="F1471" s="78"/>
      <c r="G1471" s="78"/>
      <c r="H1471" s="79"/>
      <c r="I1471" s="80"/>
      <c r="J1471" s="77"/>
      <c r="K1471" s="81" t="b">
        <v>0</v>
      </c>
      <c r="L1471" s="78"/>
      <c r="M1471" s="82"/>
      <c r="N1471" s="78"/>
      <c r="O1471" s="78"/>
      <c r="P1471" s="78"/>
      <c r="Q1471" s="78"/>
      <c r="R1471" s="78"/>
      <c r="S1471" s="78"/>
      <c r="T1471" s="83"/>
    </row>
    <row r="1472" spans="1:20" ht="15" customHeight="1" x14ac:dyDescent="0.3">
      <c r="A1472" s="73"/>
      <c r="B1472" s="74"/>
      <c r="C1472" s="75"/>
      <c r="D1472" s="76"/>
      <c r="E1472" s="77"/>
      <c r="F1472" s="78"/>
      <c r="G1472" s="78"/>
      <c r="H1472" s="79"/>
      <c r="I1472" s="80"/>
      <c r="J1472" s="77"/>
      <c r="K1472" s="81" t="b">
        <v>0</v>
      </c>
      <c r="L1472" s="78"/>
      <c r="M1472" s="82"/>
      <c r="N1472" s="78"/>
      <c r="O1472" s="78"/>
      <c r="P1472" s="78"/>
      <c r="Q1472" s="78"/>
      <c r="R1472" s="78"/>
      <c r="S1472" s="78"/>
      <c r="T1472" s="83"/>
    </row>
    <row r="1473" spans="1:20" ht="15" customHeight="1" x14ac:dyDescent="0.3">
      <c r="A1473" s="73"/>
      <c r="B1473" s="74"/>
      <c r="C1473" s="75"/>
      <c r="D1473" s="76"/>
      <c r="E1473" s="77"/>
      <c r="F1473" s="78"/>
      <c r="G1473" s="78"/>
      <c r="H1473" s="79"/>
      <c r="I1473" s="80"/>
      <c r="J1473" s="77"/>
      <c r="K1473" s="81" t="b">
        <v>0</v>
      </c>
      <c r="L1473" s="78"/>
      <c r="M1473" s="82"/>
      <c r="N1473" s="78"/>
      <c r="O1473" s="78"/>
      <c r="P1473" s="78"/>
      <c r="Q1473" s="78"/>
      <c r="R1473" s="78"/>
      <c r="S1473" s="78"/>
      <c r="T1473" s="83"/>
    </row>
    <row r="1474" spans="1:20" ht="15" customHeight="1" x14ac:dyDescent="0.3">
      <c r="A1474" s="73"/>
      <c r="B1474" s="74"/>
      <c r="C1474" s="75"/>
      <c r="D1474" s="76"/>
      <c r="E1474" s="77"/>
      <c r="F1474" s="78"/>
      <c r="G1474" s="78"/>
      <c r="H1474" s="79"/>
      <c r="I1474" s="80"/>
      <c r="J1474" s="77"/>
      <c r="K1474" s="81" t="b">
        <v>0</v>
      </c>
      <c r="L1474" s="78"/>
      <c r="M1474" s="82"/>
      <c r="N1474" s="78"/>
      <c r="O1474" s="78"/>
      <c r="P1474" s="78"/>
      <c r="Q1474" s="78"/>
      <c r="R1474" s="78"/>
      <c r="S1474" s="78"/>
      <c r="T1474" s="83"/>
    </row>
    <row r="1475" spans="1:20" ht="15" customHeight="1" x14ac:dyDescent="0.3">
      <c r="A1475" s="73"/>
      <c r="B1475" s="74"/>
      <c r="C1475" s="75"/>
      <c r="D1475" s="76"/>
      <c r="E1475" s="77"/>
      <c r="F1475" s="78"/>
      <c r="G1475" s="78"/>
      <c r="H1475" s="79"/>
      <c r="I1475" s="80"/>
      <c r="J1475" s="77"/>
      <c r="K1475" s="81" t="b">
        <v>0</v>
      </c>
      <c r="L1475" s="78"/>
      <c r="M1475" s="82"/>
      <c r="N1475" s="78"/>
      <c r="O1475" s="78"/>
      <c r="P1475" s="78"/>
      <c r="Q1475" s="78"/>
      <c r="R1475" s="78"/>
      <c r="S1475" s="78"/>
      <c r="T1475" s="83"/>
    </row>
    <row r="1476" spans="1:20" ht="15" customHeight="1" x14ac:dyDescent="0.3">
      <c r="A1476" s="73"/>
      <c r="B1476" s="74"/>
      <c r="C1476" s="75"/>
      <c r="D1476" s="76"/>
      <c r="E1476" s="77"/>
      <c r="F1476" s="78"/>
      <c r="G1476" s="78"/>
      <c r="H1476" s="79"/>
      <c r="I1476" s="80"/>
      <c r="J1476" s="77"/>
      <c r="K1476" s="81" t="b">
        <v>0</v>
      </c>
      <c r="L1476" s="78"/>
      <c r="M1476" s="82"/>
      <c r="N1476" s="78"/>
      <c r="O1476" s="78"/>
      <c r="P1476" s="78"/>
      <c r="Q1476" s="78"/>
      <c r="R1476" s="78"/>
      <c r="S1476" s="78"/>
      <c r="T1476" s="83"/>
    </row>
    <row r="1477" spans="1:20" ht="15" customHeight="1" x14ac:dyDescent="0.3">
      <c r="A1477" s="73"/>
      <c r="B1477" s="74"/>
      <c r="C1477" s="75"/>
      <c r="D1477" s="76"/>
      <c r="E1477" s="77"/>
      <c r="F1477" s="78"/>
      <c r="G1477" s="78"/>
      <c r="H1477" s="79"/>
      <c r="I1477" s="80"/>
      <c r="J1477" s="77"/>
      <c r="K1477" s="81" t="b">
        <v>0</v>
      </c>
      <c r="L1477" s="78"/>
      <c r="M1477" s="82"/>
      <c r="N1477" s="78"/>
      <c r="O1477" s="78"/>
      <c r="P1477" s="78"/>
      <c r="Q1477" s="78"/>
      <c r="R1477" s="78"/>
      <c r="S1477" s="78"/>
      <c r="T1477" s="83"/>
    </row>
    <row r="1478" spans="1:20" ht="15" customHeight="1" x14ac:dyDescent="0.3">
      <c r="A1478" s="73"/>
      <c r="B1478" s="74"/>
      <c r="C1478" s="75"/>
      <c r="D1478" s="76"/>
      <c r="E1478" s="77"/>
      <c r="F1478" s="78"/>
      <c r="G1478" s="78"/>
      <c r="H1478" s="79"/>
      <c r="I1478" s="80"/>
      <c r="J1478" s="77"/>
      <c r="K1478" s="81" t="b">
        <v>0</v>
      </c>
      <c r="L1478" s="78"/>
      <c r="M1478" s="82"/>
      <c r="N1478" s="78"/>
      <c r="O1478" s="78"/>
      <c r="P1478" s="78"/>
      <c r="Q1478" s="78"/>
      <c r="R1478" s="78"/>
      <c r="S1478" s="78"/>
      <c r="T1478" s="83"/>
    </row>
    <row r="1479" spans="1:20" ht="15" customHeight="1" x14ac:dyDescent="0.3">
      <c r="A1479" s="73"/>
      <c r="B1479" s="74"/>
      <c r="C1479" s="75"/>
      <c r="D1479" s="76"/>
      <c r="E1479" s="77"/>
      <c r="F1479" s="78"/>
      <c r="G1479" s="78"/>
      <c r="H1479" s="79"/>
      <c r="I1479" s="80"/>
      <c r="J1479" s="77"/>
      <c r="K1479" s="81" t="b">
        <v>0</v>
      </c>
      <c r="L1479" s="78"/>
      <c r="M1479" s="82"/>
      <c r="N1479" s="78"/>
      <c r="O1479" s="78"/>
      <c r="P1479" s="78"/>
      <c r="Q1479" s="78"/>
      <c r="R1479" s="78"/>
      <c r="S1479" s="78"/>
      <c r="T1479" s="83"/>
    </row>
    <row r="1480" spans="1:20" ht="15" customHeight="1" x14ac:dyDescent="0.3">
      <c r="A1480" s="73"/>
      <c r="B1480" s="74"/>
      <c r="C1480" s="75"/>
      <c r="D1480" s="76"/>
      <c r="E1480" s="77"/>
      <c r="F1480" s="78"/>
      <c r="G1480" s="78"/>
      <c r="H1480" s="79"/>
      <c r="I1480" s="80"/>
      <c r="J1480" s="77"/>
      <c r="K1480" s="81" t="b">
        <v>0</v>
      </c>
      <c r="L1480" s="78"/>
      <c r="M1480" s="82"/>
      <c r="N1480" s="78"/>
      <c r="O1480" s="78"/>
      <c r="P1480" s="78"/>
      <c r="Q1480" s="78"/>
      <c r="R1480" s="78"/>
      <c r="S1480" s="78"/>
      <c r="T1480" s="83"/>
    </row>
    <row r="1481" spans="1:20" ht="15" customHeight="1" x14ac:dyDescent="0.3">
      <c r="A1481" s="73"/>
      <c r="B1481" s="74"/>
      <c r="C1481" s="75"/>
      <c r="D1481" s="76"/>
      <c r="E1481" s="77"/>
      <c r="F1481" s="78"/>
      <c r="G1481" s="78"/>
      <c r="H1481" s="79"/>
      <c r="I1481" s="80"/>
      <c r="J1481" s="77"/>
      <c r="K1481" s="81" t="b">
        <v>0</v>
      </c>
      <c r="L1481" s="78"/>
      <c r="M1481" s="82"/>
      <c r="N1481" s="78"/>
      <c r="O1481" s="78"/>
      <c r="P1481" s="78"/>
      <c r="Q1481" s="78"/>
      <c r="R1481" s="78"/>
      <c r="S1481" s="78"/>
      <c r="T1481" s="83"/>
    </row>
    <row r="1482" spans="1:20" ht="15" customHeight="1" x14ac:dyDescent="0.3">
      <c r="A1482" s="73"/>
      <c r="B1482" s="74"/>
      <c r="C1482" s="75"/>
      <c r="D1482" s="76"/>
      <c r="E1482" s="77"/>
      <c r="F1482" s="78"/>
      <c r="G1482" s="78"/>
      <c r="H1482" s="79"/>
      <c r="I1482" s="80"/>
      <c r="J1482" s="77"/>
      <c r="K1482" s="81" t="b">
        <v>0</v>
      </c>
      <c r="L1482" s="78"/>
      <c r="M1482" s="82"/>
      <c r="N1482" s="78"/>
      <c r="O1482" s="78"/>
      <c r="P1482" s="78"/>
      <c r="Q1482" s="78"/>
      <c r="R1482" s="78"/>
      <c r="S1482" s="78"/>
      <c r="T1482" s="83"/>
    </row>
    <row r="1483" spans="1:20" ht="15" customHeight="1" x14ac:dyDescent="0.3">
      <c r="A1483" s="73"/>
      <c r="B1483" s="74"/>
      <c r="C1483" s="75"/>
      <c r="D1483" s="76"/>
      <c r="E1483" s="77"/>
      <c r="F1483" s="78"/>
      <c r="G1483" s="78"/>
      <c r="H1483" s="79"/>
      <c r="I1483" s="80"/>
      <c r="J1483" s="77"/>
      <c r="K1483" s="81" t="b">
        <v>0</v>
      </c>
      <c r="L1483" s="78"/>
      <c r="M1483" s="82"/>
      <c r="N1483" s="78"/>
      <c r="O1483" s="78"/>
      <c r="P1483" s="78"/>
      <c r="Q1483" s="78"/>
      <c r="R1483" s="78"/>
      <c r="S1483" s="78"/>
      <c r="T1483" s="83"/>
    </row>
    <row r="1484" spans="1:20" ht="15" customHeight="1" x14ac:dyDescent="0.3">
      <c r="A1484" s="73"/>
      <c r="B1484" s="74"/>
      <c r="C1484" s="75"/>
      <c r="D1484" s="76"/>
      <c r="E1484" s="77"/>
      <c r="F1484" s="78"/>
      <c r="G1484" s="78"/>
      <c r="H1484" s="79"/>
      <c r="I1484" s="80"/>
      <c r="J1484" s="77"/>
      <c r="K1484" s="81" t="b">
        <v>0</v>
      </c>
      <c r="L1484" s="78"/>
      <c r="M1484" s="82"/>
      <c r="N1484" s="78"/>
      <c r="O1484" s="78"/>
      <c r="P1484" s="78"/>
      <c r="Q1484" s="78"/>
      <c r="R1484" s="78"/>
      <c r="S1484" s="78"/>
      <c r="T1484" s="83"/>
    </row>
    <row r="1485" spans="1:20" ht="15" customHeight="1" x14ac:dyDescent="0.3">
      <c r="A1485" s="73"/>
      <c r="B1485" s="74"/>
      <c r="C1485" s="75"/>
      <c r="D1485" s="76"/>
      <c r="E1485" s="77"/>
      <c r="F1485" s="78"/>
      <c r="G1485" s="78"/>
      <c r="H1485" s="79"/>
      <c r="I1485" s="80"/>
      <c r="J1485" s="77"/>
      <c r="K1485" s="81" t="b">
        <v>0</v>
      </c>
      <c r="L1485" s="78"/>
      <c r="M1485" s="82"/>
      <c r="N1485" s="78"/>
      <c r="O1485" s="78"/>
      <c r="P1485" s="78"/>
      <c r="Q1485" s="78"/>
      <c r="R1485" s="78"/>
      <c r="S1485" s="78"/>
      <c r="T1485" s="83"/>
    </row>
    <row r="1486" spans="1:20" ht="15" customHeight="1" x14ac:dyDescent="0.3">
      <c r="A1486" s="73"/>
      <c r="B1486" s="74"/>
      <c r="C1486" s="75"/>
      <c r="D1486" s="76"/>
      <c r="E1486" s="77"/>
      <c r="F1486" s="78"/>
      <c r="G1486" s="78"/>
      <c r="H1486" s="79"/>
      <c r="I1486" s="80"/>
      <c r="J1486" s="77"/>
      <c r="K1486" s="81" t="b">
        <v>0</v>
      </c>
      <c r="L1486" s="78"/>
      <c r="M1486" s="82"/>
      <c r="N1486" s="78"/>
      <c r="O1486" s="78"/>
      <c r="P1486" s="78"/>
      <c r="Q1486" s="78"/>
      <c r="R1486" s="78"/>
      <c r="S1486" s="78"/>
      <c r="T1486" s="83"/>
    </row>
    <row r="1487" spans="1:20" ht="15" customHeight="1" x14ac:dyDescent="0.3">
      <c r="A1487" s="73"/>
      <c r="B1487" s="74"/>
      <c r="C1487" s="75"/>
      <c r="D1487" s="76"/>
      <c r="E1487" s="77"/>
      <c r="F1487" s="78"/>
      <c r="G1487" s="78"/>
      <c r="H1487" s="79"/>
      <c r="I1487" s="80"/>
      <c r="J1487" s="77"/>
      <c r="K1487" s="81" t="b">
        <v>0</v>
      </c>
      <c r="L1487" s="78"/>
      <c r="M1487" s="82"/>
      <c r="N1487" s="78"/>
      <c r="O1487" s="78"/>
      <c r="P1487" s="78"/>
      <c r="Q1487" s="78"/>
      <c r="R1487" s="78"/>
      <c r="S1487" s="78"/>
      <c r="T1487" s="83"/>
    </row>
    <row r="1488" spans="1:20" ht="15" customHeight="1" x14ac:dyDescent="0.3">
      <c r="A1488" s="73"/>
      <c r="B1488" s="74"/>
      <c r="C1488" s="75"/>
      <c r="D1488" s="76"/>
      <c r="E1488" s="77"/>
      <c r="F1488" s="78"/>
      <c r="G1488" s="78"/>
      <c r="H1488" s="79"/>
      <c r="I1488" s="80"/>
      <c r="J1488" s="77"/>
      <c r="K1488" s="81" t="b">
        <v>0</v>
      </c>
      <c r="L1488" s="78"/>
      <c r="M1488" s="82"/>
      <c r="N1488" s="78"/>
      <c r="O1488" s="78"/>
      <c r="P1488" s="78"/>
      <c r="Q1488" s="78"/>
      <c r="R1488" s="78"/>
      <c r="S1488" s="78"/>
      <c r="T1488" s="83"/>
    </row>
    <row r="1489" spans="1:20" ht="15" customHeight="1" x14ac:dyDescent="0.3">
      <c r="A1489" s="73"/>
      <c r="B1489" s="74"/>
      <c r="C1489" s="75"/>
      <c r="D1489" s="76"/>
      <c r="E1489" s="77"/>
      <c r="F1489" s="78"/>
      <c r="G1489" s="78"/>
      <c r="H1489" s="79"/>
      <c r="I1489" s="80"/>
      <c r="J1489" s="77"/>
      <c r="K1489" s="81" t="b">
        <v>0</v>
      </c>
      <c r="L1489" s="78"/>
      <c r="M1489" s="82"/>
      <c r="N1489" s="78"/>
      <c r="O1489" s="78"/>
      <c r="P1489" s="78"/>
      <c r="Q1489" s="78"/>
      <c r="R1489" s="78"/>
      <c r="S1489" s="78"/>
      <c r="T1489" s="83"/>
    </row>
    <row r="1490" spans="1:20" ht="15" customHeight="1" x14ac:dyDescent="0.3">
      <c r="A1490" s="73"/>
      <c r="B1490" s="74"/>
      <c r="C1490" s="75"/>
      <c r="D1490" s="76"/>
      <c r="E1490" s="77"/>
      <c r="F1490" s="78"/>
      <c r="G1490" s="78"/>
      <c r="H1490" s="79"/>
      <c r="I1490" s="80"/>
      <c r="J1490" s="77"/>
      <c r="K1490" s="81" t="b">
        <v>0</v>
      </c>
      <c r="L1490" s="78"/>
      <c r="M1490" s="82"/>
      <c r="N1490" s="78"/>
      <c r="O1490" s="78"/>
      <c r="P1490" s="78"/>
      <c r="Q1490" s="78"/>
      <c r="R1490" s="78"/>
      <c r="S1490" s="78"/>
      <c r="T1490" s="83"/>
    </row>
    <row r="1491" spans="1:20" ht="15" customHeight="1" x14ac:dyDescent="0.3">
      <c r="A1491" s="73"/>
      <c r="B1491" s="74"/>
      <c r="C1491" s="75"/>
      <c r="D1491" s="76"/>
      <c r="E1491" s="77"/>
      <c r="F1491" s="78"/>
      <c r="G1491" s="78"/>
      <c r="H1491" s="79"/>
      <c r="I1491" s="80"/>
      <c r="J1491" s="77"/>
      <c r="K1491" s="81" t="b">
        <v>0</v>
      </c>
      <c r="L1491" s="78"/>
      <c r="M1491" s="82"/>
      <c r="N1491" s="78"/>
      <c r="O1491" s="78"/>
      <c r="P1491" s="78"/>
      <c r="Q1491" s="78"/>
      <c r="R1491" s="78"/>
      <c r="S1491" s="78"/>
      <c r="T1491" s="83"/>
    </row>
    <row r="1492" spans="1:20" ht="15" customHeight="1" x14ac:dyDescent="0.3">
      <c r="A1492" s="73"/>
      <c r="B1492" s="74"/>
      <c r="C1492" s="75"/>
      <c r="D1492" s="76"/>
      <c r="E1492" s="77"/>
      <c r="F1492" s="78"/>
      <c r="G1492" s="78"/>
      <c r="H1492" s="79"/>
      <c r="I1492" s="80"/>
      <c r="J1492" s="77"/>
      <c r="K1492" s="81" t="b">
        <v>0</v>
      </c>
      <c r="L1492" s="78"/>
      <c r="M1492" s="82"/>
      <c r="N1492" s="78"/>
      <c r="O1492" s="78"/>
      <c r="P1492" s="78"/>
      <c r="Q1492" s="78"/>
      <c r="R1492" s="78"/>
      <c r="S1492" s="78"/>
      <c r="T1492" s="83"/>
    </row>
    <row r="1493" spans="1:20" ht="15" customHeight="1" x14ac:dyDescent="0.3">
      <c r="A1493" s="73"/>
      <c r="B1493" s="74"/>
      <c r="C1493" s="75"/>
      <c r="D1493" s="76"/>
      <c r="E1493" s="77"/>
      <c r="F1493" s="78"/>
      <c r="G1493" s="78"/>
      <c r="H1493" s="79"/>
      <c r="I1493" s="80"/>
      <c r="J1493" s="77"/>
      <c r="K1493" s="81" t="b">
        <v>0</v>
      </c>
      <c r="L1493" s="78"/>
      <c r="M1493" s="82"/>
      <c r="N1493" s="78"/>
      <c r="O1493" s="78"/>
      <c r="P1493" s="78"/>
      <c r="Q1493" s="78"/>
      <c r="R1493" s="78"/>
      <c r="S1493" s="78"/>
      <c r="T1493" s="83"/>
    </row>
    <row r="1494" spans="1:20" ht="15" customHeight="1" x14ac:dyDescent="0.3">
      <c r="A1494" s="73"/>
      <c r="B1494" s="74"/>
      <c r="C1494" s="75"/>
      <c r="D1494" s="76"/>
      <c r="E1494" s="77"/>
      <c r="F1494" s="78"/>
      <c r="G1494" s="78"/>
      <c r="H1494" s="79"/>
      <c r="I1494" s="80"/>
      <c r="J1494" s="77"/>
      <c r="K1494" s="81" t="b">
        <v>0</v>
      </c>
      <c r="L1494" s="78"/>
      <c r="M1494" s="82"/>
      <c r="N1494" s="78"/>
      <c r="O1494" s="78"/>
      <c r="P1494" s="78"/>
      <c r="Q1494" s="78"/>
      <c r="R1494" s="78"/>
      <c r="S1494" s="78"/>
      <c r="T1494" s="83"/>
    </row>
    <row r="1495" spans="1:20" ht="15" customHeight="1" x14ac:dyDescent="0.3">
      <c r="A1495" s="73"/>
      <c r="B1495" s="74"/>
      <c r="C1495" s="75"/>
      <c r="D1495" s="76"/>
      <c r="E1495" s="77"/>
      <c r="F1495" s="78"/>
      <c r="G1495" s="78"/>
      <c r="H1495" s="79"/>
      <c r="I1495" s="80"/>
      <c r="J1495" s="77"/>
      <c r="K1495" s="81" t="b">
        <v>0</v>
      </c>
      <c r="L1495" s="78"/>
      <c r="M1495" s="82"/>
      <c r="N1495" s="78"/>
      <c r="O1495" s="78"/>
      <c r="P1495" s="78"/>
      <c r="Q1495" s="78"/>
      <c r="R1495" s="78"/>
      <c r="S1495" s="78"/>
      <c r="T1495" s="83"/>
    </row>
    <row r="1496" spans="1:20" ht="15" customHeight="1" x14ac:dyDescent="0.3">
      <c r="A1496" s="73"/>
      <c r="B1496" s="74"/>
      <c r="C1496" s="75"/>
      <c r="D1496" s="76"/>
      <c r="E1496" s="77"/>
      <c r="F1496" s="78"/>
      <c r="G1496" s="78"/>
      <c r="H1496" s="79"/>
      <c r="I1496" s="80"/>
      <c r="J1496" s="77"/>
      <c r="K1496" s="81" t="b">
        <v>0</v>
      </c>
      <c r="L1496" s="78"/>
      <c r="M1496" s="82"/>
      <c r="N1496" s="78"/>
      <c r="O1496" s="78"/>
      <c r="P1496" s="78"/>
      <c r="Q1496" s="78"/>
      <c r="R1496" s="78"/>
      <c r="S1496" s="78"/>
      <c r="T1496" s="83"/>
    </row>
    <row r="1497" spans="1:20" ht="15" customHeight="1" x14ac:dyDescent="0.3">
      <c r="A1497" s="73"/>
      <c r="B1497" s="74"/>
      <c r="C1497" s="75"/>
      <c r="D1497" s="76"/>
      <c r="E1497" s="77"/>
      <c r="F1497" s="78"/>
      <c r="G1497" s="78"/>
      <c r="H1497" s="79"/>
      <c r="I1497" s="80"/>
      <c r="J1497" s="77"/>
      <c r="K1497" s="81" t="b">
        <v>0</v>
      </c>
      <c r="L1497" s="78"/>
      <c r="M1497" s="82"/>
      <c r="N1497" s="78"/>
      <c r="O1497" s="78"/>
      <c r="P1497" s="78"/>
      <c r="Q1497" s="78"/>
      <c r="R1497" s="78"/>
      <c r="S1497" s="78"/>
      <c r="T1497" s="83"/>
    </row>
    <row r="1498" spans="1:20" ht="15" customHeight="1" x14ac:dyDescent="0.3">
      <c r="A1498" s="73"/>
      <c r="B1498" s="74"/>
      <c r="C1498" s="75"/>
      <c r="D1498" s="76"/>
      <c r="E1498" s="77"/>
      <c r="F1498" s="78"/>
      <c r="G1498" s="78"/>
      <c r="H1498" s="79"/>
      <c r="I1498" s="80"/>
      <c r="J1498" s="77"/>
      <c r="K1498" s="81" t="b">
        <v>0</v>
      </c>
      <c r="L1498" s="78"/>
      <c r="M1498" s="82"/>
      <c r="N1498" s="78"/>
      <c r="O1498" s="78"/>
      <c r="P1498" s="78"/>
      <c r="Q1498" s="78"/>
      <c r="R1498" s="78"/>
      <c r="S1498" s="78"/>
      <c r="T1498" s="83"/>
    </row>
    <row r="1499" spans="1:20" ht="15" customHeight="1" x14ac:dyDescent="0.3">
      <c r="A1499" s="73"/>
      <c r="B1499" s="74"/>
      <c r="C1499" s="75"/>
      <c r="D1499" s="76"/>
      <c r="E1499" s="77"/>
      <c r="F1499" s="78"/>
      <c r="G1499" s="78"/>
      <c r="H1499" s="79"/>
      <c r="I1499" s="80"/>
      <c r="J1499" s="77"/>
      <c r="K1499" s="81" t="b">
        <v>0</v>
      </c>
      <c r="L1499" s="78"/>
      <c r="M1499" s="82"/>
      <c r="N1499" s="78"/>
      <c r="O1499" s="78"/>
      <c r="P1499" s="78"/>
      <c r="Q1499" s="78"/>
      <c r="R1499" s="78"/>
      <c r="S1499" s="78"/>
      <c r="T1499" s="83"/>
    </row>
    <row r="1500" spans="1:20" ht="15" customHeight="1" x14ac:dyDescent="0.3">
      <c r="A1500" s="73"/>
      <c r="B1500" s="74"/>
      <c r="C1500" s="75"/>
      <c r="D1500" s="76"/>
      <c r="E1500" s="77"/>
      <c r="F1500" s="78"/>
      <c r="G1500" s="78"/>
      <c r="H1500" s="79"/>
      <c r="I1500" s="80"/>
      <c r="J1500" s="77"/>
      <c r="K1500" s="81" t="b">
        <v>0</v>
      </c>
      <c r="L1500" s="78"/>
      <c r="M1500" s="82"/>
      <c r="N1500" s="78"/>
      <c r="O1500" s="78"/>
      <c r="P1500" s="78"/>
      <c r="Q1500" s="78"/>
      <c r="R1500" s="78"/>
      <c r="S1500" s="78"/>
      <c r="T1500" s="83"/>
    </row>
    <row r="1501" spans="1:20" ht="15" customHeight="1" x14ac:dyDescent="0.3">
      <c r="A1501" s="73"/>
      <c r="B1501" s="74"/>
      <c r="C1501" s="75"/>
      <c r="D1501" s="76"/>
      <c r="E1501" s="77"/>
      <c r="F1501" s="78"/>
      <c r="G1501" s="78"/>
      <c r="H1501" s="79"/>
      <c r="I1501" s="80"/>
      <c r="J1501" s="77"/>
      <c r="K1501" s="81" t="b">
        <v>0</v>
      </c>
      <c r="L1501" s="78"/>
      <c r="M1501" s="82"/>
      <c r="N1501" s="78"/>
      <c r="O1501" s="78"/>
      <c r="P1501" s="78"/>
      <c r="Q1501" s="78"/>
      <c r="R1501" s="78"/>
      <c r="S1501" s="78"/>
      <c r="T1501" s="83"/>
    </row>
    <row r="1502" spans="1:20" ht="15" customHeight="1" x14ac:dyDescent="0.3">
      <c r="A1502" s="73"/>
      <c r="B1502" s="74"/>
      <c r="C1502" s="75"/>
      <c r="D1502" s="76"/>
      <c r="E1502" s="77"/>
      <c r="F1502" s="78"/>
      <c r="G1502" s="78"/>
      <c r="H1502" s="79"/>
      <c r="I1502" s="80"/>
      <c r="J1502" s="77"/>
      <c r="K1502" s="81" t="b">
        <v>0</v>
      </c>
      <c r="L1502" s="78"/>
      <c r="M1502" s="82"/>
      <c r="N1502" s="78"/>
      <c r="O1502" s="78"/>
      <c r="P1502" s="78"/>
      <c r="Q1502" s="78"/>
      <c r="R1502" s="78"/>
      <c r="S1502" s="78"/>
      <c r="T1502" s="83"/>
    </row>
    <row r="1503" spans="1:20" ht="15" customHeight="1" x14ac:dyDescent="0.3">
      <c r="A1503" s="73"/>
      <c r="B1503" s="74"/>
      <c r="C1503" s="75"/>
      <c r="D1503" s="76"/>
      <c r="E1503" s="77"/>
      <c r="F1503" s="78"/>
      <c r="G1503" s="78"/>
      <c r="H1503" s="79"/>
      <c r="I1503" s="80"/>
      <c r="J1503" s="77"/>
      <c r="K1503" s="81" t="b">
        <v>0</v>
      </c>
      <c r="L1503" s="78"/>
      <c r="M1503" s="82"/>
      <c r="N1503" s="78"/>
      <c r="O1503" s="78"/>
      <c r="P1503" s="78"/>
      <c r="Q1503" s="78"/>
      <c r="R1503" s="78"/>
      <c r="S1503" s="78"/>
      <c r="T1503" s="83"/>
    </row>
    <row r="1504" spans="1:20" ht="15" customHeight="1" x14ac:dyDescent="0.3">
      <c r="A1504" s="73"/>
      <c r="B1504" s="74"/>
      <c r="C1504" s="75"/>
      <c r="D1504" s="76"/>
      <c r="E1504" s="77"/>
      <c r="F1504" s="78"/>
      <c r="G1504" s="78"/>
      <c r="H1504" s="79"/>
      <c r="I1504" s="80"/>
      <c r="J1504" s="77"/>
      <c r="K1504" s="81" t="b">
        <v>0</v>
      </c>
      <c r="L1504" s="78"/>
      <c r="M1504" s="82"/>
      <c r="N1504" s="78"/>
      <c r="O1504" s="78"/>
      <c r="P1504" s="78"/>
      <c r="Q1504" s="78"/>
      <c r="R1504" s="78"/>
      <c r="S1504" s="78"/>
      <c r="T1504" s="83"/>
    </row>
    <row r="1505" spans="1:20" ht="15" customHeight="1" x14ac:dyDescent="0.3">
      <c r="A1505" s="73"/>
      <c r="B1505" s="74"/>
      <c r="C1505" s="75"/>
      <c r="D1505" s="76"/>
      <c r="E1505" s="77"/>
      <c r="F1505" s="78"/>
      <c r="G1505" s="78"/>
      <c r="H1505" s="79"/>
      <c r="I1505" s="80"/>
      <c r="J1505" s="77"/>
      <c r="K1505" s="81" t="b">
        <v>0</v>
      </c>
      <c r="L1505" s="78"/>
      <c r="M1505" s="82"/>
      <c r="N1505" s="78"/>
      <c r="O1505" s="78"/>
      <c r="P1505" s="78"/>
      <c r="Q1505" s="78"/>
      <c r="R1505" s="78"/>
      <c r="S1505" s="78"/>
      <c r="T1505" s="83"/>
    </row>
    <row r="1506" spans="1:20" ht="15" customHeight="1" x14ac:dyDescent="0.3">
      <c r="A1506" s="73"/>
      <c r="B1506" s="74"/>
      <c r="C1506" s="75"/>
      <c r="D1506" s="76"/>
      <c r="E1506" s="77"/>
      <c r="F1506" s="78"/>
      <c r="G1506" s="78"/>
      <c r="H1506" s="79"/>
      <c r="I1506" s="80"/>
      <c r="J1506" s="77"/>
      <c r="K1506" s="81" t="b">
        <v>0</v>
      </c>
      <c r="L1506" s="78"/>
      <c r="M1506" s="82"/>
      <c r="N1506" s="78"/>
      <c r="O1506" s="78"/>
      <c r="P1506" s="78"/>
      <c r="Q1506" s="78"/>
      <c r="R1506" s="78"/>
      <c r="S1506" s="78"/>
      <c r="T1506" s="83"/>
    </row>
    <row r="1507" spans="1:20" ht="15" customHeight="1" x14ac:dyDescent="0.3">
      <c r="A1507" s="73"/>
      <c r="B1507" s="74"/>
      <c r="C1507" s="75"/>
      <c r="D1507" s="76"/>
      <c r="E1507" s="77"/>
      <c r="F1507" s="78"/>
      <c r="G1507" s="78"/>
      <c r="H1507" s="79"/>
      <c r="I1507" s="80"/>
      <c r="J1507" s="77"/>
      <c r="K1507" s="81" t="b">
        <v>0</v>
      </c>
      <c r="L1507" s="78"/>
      <c r="M1507" s="82"/>
      <c r="N1507" s="78"/>
      <c r="O1507" s="78"/>
      <c r="P1507" s="78"/>
      <c r="Q1507" s="78"/>
      <c r="R1507" s="78"/>
      <c r="S1507" s="78"/>
      <c r="T1507" s="83"/>
    </row>
    <row r="1508" spans="1:20" ht="15" customHeight="1" x14ac:dyDescent="0.3">
      <c r="A1508" s="73"/>
      <c r="B1508" s="74"/>
      <c r="C1508" s="75"/>
      <c r="D1508" s="76"/>
      <c r="E1508" s="77"/>
      <c r="F1508" s="78"/>
      <c r="G1508" s="78"/>
      <c r="H1508" s="79"/>
      <c r="I1508" s="80"/>
      <c r="J1508" s="77"/>
      <c r="K1508" s="81" t="b">
        <v>0</v>
      </c>
      <c r="L1508" s="78"/>
      <c r="M1508" s="82"/>
      <c r="N1508" s="78"/>
      <c r="O1508" s="78"/>
      <c r="P1508" s="78"/>
      <c r="Q1508" s="78"/>
      <c r="R1508" s="78"/>
      <c r="S1508" s="78"/>
      <c r="T1508" s="83"/>
    </row>
    <row r="1509" spans="1:20" ht="15" customHeight="1" x14ac:dyDescent="0.3">
      <c r="A1509" s="73"/>
      <c r="B1509" s="74"/>
      <c r="C1509" s="75"/>
      <c r="D1509" s="76"/>
      <c r="E1509" s="77"/>
      <c r="F1509" s="78"/>
      <c r="G1509" s="78"/>
      <c r="H1509" s="79"/>
      <c r="I1509" s="80"/>
      <c r="J1509" s="77"/>
      <c r="K1509" s="81" t="b">
        <v>0</v>
      </c>
      <c r="L1509" s="78"/>
      <c r="M1509" s="82"/>
      <c r="N1509" s="78"/>
      <c r="O1509" s="78"/>
      <c r="P1509" s="78"/>
      <c r="Q1509" s="78"/>
      <c r="R1509" s="78"/>
      <c r="S1509" s="78"/>
      <c r="T1509" s="83"/>
    </row>
    <row r="1510" spans="1:20" ht="15" customHeight="1" x14ac:dyDescent="0.3">
      <c r="A1510" s="73"/>
      <c r="B1510" s="74"/>
      <c r="C1510" s="75"/>
      <c r="D1510" s="76"/>
      <c r="E1510" s="77"/>
      <c r="F1510" s="78"/>
      <c r="G1510" s="78"/>
      <c r="H1510" s="79"/>
      <c r="I1510" s="80"/>
      <c r="J1510" s="77"/>
      <c r="K1510" s="81" t="b">
        <v>0</v>
      </c>
      <c r="L1510" s="78"/>
      <c r="M1510" s="82"/>
      <c r="N1510" s="78"/>
      <c r="O1510" s="78"/>
      <c r="P1510" s="78"/>
      <c r="Q1510" s="78"/>
      <c r="R1510" s="78"/>
      <c r="S1510" s="78"/>
      <c r="T1510" s="83"/>
    </row>
    <row r="1511" spans="1:20" ht="15" customHeight="1" x14ac:dyDescent="0.3">
      <c r="A1511" s="73"/>
      <c r="B1511" s="74"/>
      <c r="C1511" s="75"/>
      <c r="D1511" s="76"/>
      <c r="E1511" s="77"/>
      <c r="F1511" s="78"/>
      <c r="G1511" s="78"/>
      <c r="H1511" s="79"/>
      <c r="I1511" s="80"/>
      <c r="J1511" s="77"/>
      <c r="K1511" s="81" t="b">
        <v>0</v>
      </c>
      <c r="L1511" s="78"/>
      <c r="M1511" s="82"/>
      <c r="N1511" s="78"/>
      <c r="O1511" s="78"/>
      <c r="P1511" s="78"/>
      <c r="Q1511" s="78"/>
      <c r="R1511" s="78"/>
      <c r="S1511" s="78"/>
      <c r="T1511" s="83"/>
    </row>
    <row r="1512" spans="1:20" ht="15" customHeight="1" x14ac:dyDescent="0.3">
      <c r="A1512" s="73"/>
      <c r="B1512" s="74"/>
      <c r="C1512" s="75"/>
      <c r="D1512" s="76"/>
      <c r="E1512" s="77"/>
      <c r="F1512" s="78"/>
      <c r="G1512" s="78"/>
      <c r="H1512" s="79"/>
      <c r="I1512" s="80"/>
      <c r="J1512" s="77"/>
      <c r="K1512" s="81" t="b">
        <v>0</v>
      </c>
      <c r="L1512" s="78"/>
      <c r="M1512" s="82"/>
      <c r="N1512" s="78"/>
      <c r="O1512" s="78"/>
      <c r="P1512" s="78"/>
      <c r="Q1512" s="78"/>
      <c r="R1512" s="78"/>
      <c r="S1512" s="78"/>
      <c r="T1512" s="83"/>
    </row>
    <row r="1513" spans="1:20" ht="15" customHeight="1" x14ac:dyDescent="0.3">
      <c r="A1513" s="73"/>
      <c r="B1513" s="74"/>
      <c r="C1513" s="75"/>
      <c r="D1513" s="76"/>
      <c r="E1513" s="77"/>
      <c r="F1513" s="78"/>
      <c r="G1513" s="78"/>
      <c r="H1513" s="79"/>
      <c r="I1513" s="80"/>
      <c r="J1513" s="77"/>
      <c r="K1513" s="81" t="b">
        <v>0</v>
      </c>
      <c r="L1513" s="78"/>
      <c r="M1513" s="82"/>
      <c r="N1513" s="78"/>
      <c r="O1513" s="78"/>
      <c r="P1513" s="78"/>
      <c r="Q1513" s="78"/>
      <c r="R1513" s="78"/>
      <c r="S1513" s="78"/>
      <c r="T1513" s="83"/>
    </row>
    <row r="1514" spans="1:20" ht="15" customHeight="1" x14ac:dyDescent="0.3">
      <c r="A1514" s="73"/>
      <c r="B1514" s="74"/>
      <c r="C1514" s="75"/>
      <c r="D1514" s="76"/>
      <c r="E1514" s="77"/>
      <c r="F1514" s="78"/>
      <c r="G1514" s="78"/>
      <c r="H1514" s="79"/>
      <c r="I1514" s="80"/>
      <c r="J1514" s="77"/>
      <c r="K1514" s="81" t="b">
        <v>0</v>
      </c>
      <c r="L1514" s="78"/>
      <c r="M1514" s="82"/>
      <c r="N1514" s="78"/>
      <c r="O1514" s="78"/>
      <c r="P1514" s="78"/>
      <c r="Q1514" s="78"/>
      <c r="R1514" s="78"/>
      <c r="S1514" s="78"/>
      <c r="T1514" s="83"/>
    </row>
    <row r="1515" spans="1:20" ht="15" customHeight="1" x14ac:dyDescent="0.3">
      <c r="A1515" s="73"/>
      <c r="B1515" s="74"/>
      <c r="C1515" s="75"/>
      <c r="D1515" s="76"/>
      <c r="E1515" s="77"/>
      <c r="F1515" s="78"/>
      <c r="G1515" s="78"/>
      <c r="H1515" s="79"/>
      <c r="I1515" s="80"/>
      <c r="J1515" s="77"/>
      <c r="K1515" s="81" t="b">
        <v>0</v>
      </c>
      <c r="L1515" s="78"/>
      <c r="M1515" s="82"/>
      <c r="N1515" s="78"/>
      <c r="O1515" s="78"/>
      <c r="P1515" s="78"/>
      <c r="Q1515" s="78"/>
      <c r="R1515" s="78"/>
      <c r="S1515" s="78"/>
      <c r="T1515" s="83"/>
    </row>
    <row r="1516" spans="1:20" ht="15" customHeight="1" x14ac:dyDescent="0.3">
      <c r="A1516" s="73"/>
      <c r="B1516" s="74"/>
      <c r="C1516" s="75"/>
      <c r="D1516" s="76"/>
      <c r="E1516" s="77"/>
      <c r="F1516" s="78"/>
      <c r="G1516" s="78"/>
      <c r="H1516" s="79"/>
      <c r="I1516" s="80"/>
      <c r="J1516" s="77"/>
      <c r="K1516" s="81" t="b">
        <v>0</v>
      </c>
      <c r="L1516" s="78"/>
      <c r="M1516" s="82"/>
      <c r="N1516" s="78"/>
      <c r="O1516" s="78"/>
      <c r="P1516" s="78"/>
      <c r="Q1516" s="78"/>
      <c r="R1516" s="78"/>
      <c r="S1516" s="78"/>
      <c r="T1516" s="83"/>
    </row>
    <row r="1517" spans="1:20" ht="15" customHeight="1" x14ac:dyDescent="0.3">
      <c r="A1517" s="73"/>
      <c r="B1517" s="74"/>
      <c r="C1517" s="75"/>
      <c r="D1517" s="76"/>
      <c r="E1517" s="77"/>
      <c r="F1517" s="78"/>
      <c r="G1517" s="78"/>
      <c r="H1517" s="79"/>
      <c r="I1517" s="80"/>
      <c r="J1517" s="77"/>
      <c r="K1517" s="81" t="b">
        <v>0</v>
      </c>
      <c r="L1517" s="78"/>
      <c r="M1517" s="82"/>
      <c r="N1517" s="78"/>
      <c r="O1517" s="78"/>
      <c r="P1517" s="78"/>
      <c r="Q1517" s="78"/>
      <c r="R1517" s="78"/>
      <c r="S1517" s="78"/>
      <c r="T1517" s="83"/>
    </row>
    <row r="1518" spans="1:20" ht="15" customHeight="1" x14ac:dyDescent="0.3">
      <c r="A1518" s="73"/>
      <c r="B1518" s="74"/>
      <c r="C1518" s="75"/>
      <c r="D1518" s="76"/>
      <c r="E1518" s="77"/>
      <c r="F1518" s="78"/>
      <c r="G1518" s="78"/>
      <c r="H1518" s="79"/>
      <c r="I1518" s="80"/>
      <c r="J1518" s="77"/>
      <c r="K1518" s="81" t="b">
        <v>0</v>
      </c>
      <c r="L1518" s="78"/>
      <c r="M1518" s="82"/>
      <c r="N1518" s="78"/>
      <c r="O1518" s="78"/>
      <c r="P1518" s="78"/>
      <c r="Q1518" s="78"/>
      <c r="R1518" s="78"/>
      <c r="S1518" s="78"/>
      <c r="T1518" s="83"/>
    </row>
    <row r="1519" spans="1:20" ht="15" customHeight="1" x14ac:dyDescent="0.3">
      <c r="A1519" s="73"/>
      <c r="B1519" s="74"/>
      <c r="C1519" s="75"/>
      <c r="D1519" s="76"/>
      <c r="E1519" s="77"/>
      <c r="F1519" s="78"/>
      <c r="G1519" s="78"/>
      <c r="H1519" s="79"/>
      <c r="I1519" s="80"/>
      <c r="J1519" s="77"/>
      <c r="K1519" s="81" t="b">
        <v>0</v>
      </c>
      <c r="L1519" s="78"/>
      <c r="M1519" s="82"/>
      <c r="N1519" s="78"/>
      <c r="O1519" s="78"/>
      <c r="P1519" s="78"/>
      <c r="Q1519" s="78"/>
      <c r="R1519" s="78"/>
      <c r="S1519" s="78"/>
      <c r="T1519" s="83"/>
    </row>
    <row r="1520" spans="1:20" ht="15" customHeight="1" x14ac:dyDescent="0.3">
      <c r="A1520" s="73"/>
      <c r="B1520" s="74"/>
      <c r="C1520" s="75"/>
      <c r="D1520" s="76"/>
      <c r="E1520" s="77"/>
      <c r="F1520" s="78"/>
      <c r="G1520" s="78"/>
      <c r="H1520" s="79"/>
      <c r="I1520" s="80"/>
      <c r="J1520" s="77"/>
      <c r="K1520" s="81" t="b">
        <v>0</v>
      </c>
      <c r="L1520" s="78"/>
      <c r="M1520" s="82"/>
      <c r="N1520" s="78"/>
      <c r="O1520" s="78"/>
      <c r="P1520" s="78"/>
      <c r="Q1520" s="78"/>
      <c r="R1520" s="78"/>
      <c r="S1520" s="78"/>
      <c r="T1520" s="83"/>
    </row>
    <row r="1521" spans="1:20" ht="15" customHeight="1" x14ac:dyDescent="0.3">
      <c r="A1521" s="73"/>
      <c r="B1521" s="74"/>
      <c r="C1521" s="75"/>
      <c r="D1521" s="76"/>
      <c r="E1521" s="77"/>
      <c r="F1521" s="78"/>
      <c r="G1521" s="78"/>
      <c r="H1521" s="79"/>
      <c r="I1521" s="80"/>
      <c r="J1521" s="77"/>
      <c r="K1521" s="81" t="b">
        <v>0</v>
      </c>
      <c r="L1521" s="78"/>
      <c r="M1521" s="82"/>
      <c r="N1521" s="78"/>
      <c r="O1521" s="78"/>
      <c r="P1521" s="78"/>
      <c r="Q1521" s="78"/>
      <c r="R1521" s="78"/>
      <c r="S1521" s="78"/>
      <c r="T1521" s="83"/>
    </row>
    <row r="1522" spans="1:20" ht="15" customHeight="1" x14ac:dyDescent="0.3">
      <c r="A1522" s="73"/>
      <c r="B1522" s="74"/>
      <c r="C1522" s="75"/>
      <c r="D1522" s="76"/>
      <c r="E1522" s="77"/>
      <c r="F1522" s="78"/>
      <c r="G1522" s="78"/>
      <c r="H1522" s="79"/>
      <c r="I1522" s="80"/>
      <c r="J1522" s="77"/>
      <c r="K1522" s="81" t="b">
        <v>0</v>
      </c>
      <c r="L1522" s="78"/>
      <c r="M1522" s="82"/>
      <c r="N1522" s="78"/>
      <c r="O1522" s="78"/>
      <c r="P1522" s="78"/>
      <c r="Q1522" s="78"/>
      <c r="R1522" s="78"/>
      <c r="S1522" s="78"/>
      <c r="T1522" s="83"/>
    </row>
    <row r="1523" spans="1:20" ht="15" customHeight="1" x14ac:dyDescent="0.3">
      <c r="A1523" s="73"/>
      <c r="B1523" s="74"/>
      <c r="C1523" s="75"/>
      <c r="D1523" s="76"/>
      <c r="E1523" s="77"/>
      <c r="F1523" s="78"/>
      <c r="G1523" s="78"/>
      <c r="H1523" s="79"/>
      <c r="I1523" s="80"/>
      <c r="J1523" s="77"/>
      <c r="K1523" s="81" t="b">
        <v>0</v>
      </c>
      <c r="L1523" s="78"/>
      <c r="M1523" s="82"/>
      <c r="N1523" s="78"/>
      <c r="O1523" s="78"/>
      <c r="P1523" s="78"/>
      <c r="Q1523" s="78"/>
      <c r="R1523" s="78"/>
      <c r="S1523" s="78"/>
      <c r="T1523" s="83"/>
    </row>
    <row r="1524" spans="1:20" ht="15" customHeight="1" x14ac:dyDescent="0.3">
      <c r="A1524" s="73"/>
      <c r="B1524" s="74"/>
      <c r="C1524" s="75"/>
      <c r="D1524" s="76"/>
      <c r="E1524" s="77"/>
      <c r="F1524" s="78"/>
      <c r="G1524" s="78"/>
      <c r="H1524" s="79"/>
      <c r="I1524" s="80"/>
      <c r="J1524" s="77"/>
      <c r="K1524" s="81" t="b">
        <v>0</v>
      </c>
      <c r="L1524" s="78"/>
      <c r="M1524" s="82"/>
      <c r="N1524" s="78"/>
      <c r="O1524" s="78"/>
      <c r="P1524" s="78"/>
      <c r="Q1524" s="78"/>
      <c r="R1524" s="78"/>
      <c r="S1524" s="78"/>
      <c r="T1524" s="83"/>
    </row>
    <row r="1525" spans="1:20" ht="15" customHeight="1" x14ac:dyDescent="0.3">
      <c r="A1525" s="73"/>
      <c r="B1525" s="74"/>
      <c r="C1525" s="75"/>
      <c r="D1525" s="76"/>
      <c r="E1525" s="77"/>
      <c r="F1525" s="78"/>
      <c r="G1525" s="78"/>
      <c r="H1525" s="79"/>
      <c r="I1525" s="80"/>
      <c r="J1525" s="77"/>
      <c r="K1525" s="81" t="b">
        <v>0</v>
      </c>
      <c r="L1525" s="78"/>
      <c r="M1525" s="82"/>
      <c r="N1525" s="78"/>
      <c r="O1525" s="78"/>
      <c r="P1525" s="78"/>
      <c r="Q1525" s="78"/>
      <c r="R1525" s="78"/>
      <c r="S1525" s="78"/>
      <c r="T1525" s="83"/>
    </row>
    <row r="1526" spans="1:20" ht="15" customHeight="1" x14ac:dyDescent="0.3">
      <c r="A1526" s="73"/>
      <c r="B1526" s="74"/>
      <c r="C1526" s="75"/>
      <c r="D1526" s="76"/>
      <c r="E1526" s="77"/>
      <c r="F1526" s="78"/>
      <c r="G1526" s="78"/>
      <c r="H1526" s="79"/>
      <c r="I1526" s="80"/>
      <c r="J1526" s="77"/>
      <c r="K1526" s="81" t="b">
        <v>0</v>
      </c>
      <c r="L1526" s="78"/>
      <c r="M1526" s="82"/>
      <c r="N1526" s="78"/>
      <c r="O1526" s="78"/>
      <c r="P1526" s="78"/>
      <c r="Q1526" s="78"/>
      <c r="R1526" s="78"/>
      <c r="S1526" s="78"/>
      <c r="T1526" s="83"/>
    </row>
    <row r="1527" spans="1:20" ht="15" customHeight="1" x14ac:dyDescent="0.3">
      <c r="A1527" s="73"/>
      <c r="B1527" s="74"/>
      <c r="C1527" s="75"/>
      <c r="D1527" s="76"/>
      <c r="E1527" s="77"/>
      <c r="F1527" s="78"/>
      <c r="G1527" s="78"/>
      <c r="H1527" s="79"/>
      <c r="I1527" s="80"/>
      <c r="J1527" s="77"/>
      <c r="K1527" s="81" t="b">
        <v>0</v>
      </c>
      <c r="L1527" s="78"/>
      <c r="M1527" s="82"/>
      <c r="N1527" s="78"/>
      <c r="O1527" s="78"/>
      <c r="P1527" s="78"/>
      <c r="Q1527" s="78"/>
      <c r="R1527" s="78"/>
      <c r="S1527" s="78"/>
      <c r="T1527" s="83"/>
    </row>
    <row r="1528" spans="1:20" ht="15" customHeight="1" x14ac:dyDescent="0.3">
      <c r="A1528" s="73"/>
      <c r="B1528" s="74"/>
      <c r="C1528" s="75"/>
      <c r="D1528" s="76"/>
      <c r="E1528" s="77"/>
      <c r="F1528" s="78"/>
      <c r="G1528" s="78"/>
      <c r="H1528" s="79"/>
      <c r="I1528" s="80"/>
      <c r="J1528" s="77"/>
      <c r="K1528" s="81" t="b">
        <v>0</v>
      </c>
      <c r="L1528" s="78"/>
      <c r="M1528" s="82"/>
      <c r="N1528" s="78"/>
      <c r="O1528" s="78"/>
      <c r="P1528" s="78"/>
      <c r="Q1528" s="78"/>
      <c r="R1528" s="78"/>
      <c r="S1528" s="78"/>
      <c r="T1528" s="83"/>
    </row>
    <row r="1529" spans="1:20" ht="15" customHeight="1" x14ac:dyDescent="0.3">
      <c r="A1529" s="73"/>
      <c r="B1529" s="74"/>
      <c r="C1529" s="75"/>
      <c r="D1529" s="76"/>
      <c r="E1529" s="77"/>
      <c r="F1529" s="78"/>
      <c r="G1529" s="78"/>
      <c r="H1529" s="79"/>
      <c r="I1529" s="80"/>
      <c r="J1529" s="77"/>
      <c r="K1529" s="81" t="b">
        <v>0</v>
      </c>
      <c r="L1529" s="78"/>
      <c r="M1529" s="82"/>
      <c r="N1529" s="78"/>
      <c r="O1529" s="78"/>
      <c r="P1529" s="78"/>
      <c r="Q1529" s="78"/>
      <c r="R1529" s="78"/>
      <c r="S1529" s="78"/>
      <c r="T1529" s="83"/>
    </row>
    <row r="1530" spans="1:20" ht="15" customHeight="1" x14ac:dyDescent="0.3">
      <c r="A1530" s="73"/>
      <c r="B1530" s="74"/>
      <c r="C1530" s="75"/>
      <c r="D1530" s="76"/>
      <c r="E1530" s="77"/>
      <c r="F1530" s="78"/>
      <c r="G1530" s="78"/>
      <c r="H1530" s="79"/>
      <c r="I1530" s="80"/>
      <c r="J1530" s="77"/>
      <c r="K1530" s="81" t="b">
        <v>0</v>
      </c>
      <c r="L1530" s="78"/>
      <c r="M1530" s="82"/>
      <c r="N1530" s="78"/>
      <c r="O1530" s="78"/>
      <c r="P1530" s="78"/>
      <c r="Q1530" s="78"/>
      <c r="R1530" s="78"/>
      <c r="S1530" s="78"/>
      <c r="T1530" s="83"/>
    </row>
    <row r="1531" spans="1:20" ht="15" customHeight="1" x14ac:dyDescent="0.3">
      <c r="A1531" s="73"/>
      <c r="B1531" s="74"/>
      <c r="C1531" s="75"/>
      <c r="D1531" s="76"/>
      <c r="E1531" s="77"/>
      <c r="F1531" s="78"/>
      <c r="G1531" s="78"/>
      <c r="H1531" s="79"/>
      <c r="I1531" s="80"/>
      <c r="J1531" s="77"/>
      <c r="K1531" s="81" t="b">
        <v>0</v>
      </c>
      <c r="L1531" s="78"/>
      <c r="M1531" s="82"/>
      <c r="N1531" s="78"/>
      <c r="O1531" s="78"/>
      <c r="P1531" s="78"/>
      <c r="Q1531" s="78"/>
      <c r="R1531" s="78"/>
      <c r="S1531" s="78"/>
      <c r="T1531" s="83"/>
    </row>
    <row r="1532" spans="1:20" ht="15" customHeight="1" x14ac:dyDescent="0.3">
      <c r="A1532" s="73"/>
      <c r="B1532" s="74"/>
      <c r="C1532" s="75"/>
      <c r="D1532" s="76"/>
      <c r="E1532" s="77"/>
      <c r="F1532" s="78"/>
      <c r="G1532" s="78"/>
      <c r="H1532" s="79"/>
      <c r="I1532" s="80"/>
      <c r="J1532" s="77"/>
      <c r="K1532" s="81" t="b">
        <v>0</v>
      </c>
      <c r="L1532" s="78"/>
      <c r="M1532" s="82"/>
      <c r="N1532" s="78"/>
      <c r="O1532" s="78"/>
      <c r="P1532" s="78"/>
      <c r="Q1532" s="78"/>
      <c r="R1532" s="78"/>
      <c r="S1532" s="78"/>
      <c r="T1532" s="83"/>
    </row>
    <row r="1533" spans="1:20" ht="15" customHeight="1" x14ac:dyDescent="0.3">
      <c r="A1533" s="73"/>
      <c r="B1533" s="74"/>
      <c r="C1533" s="75"/>
      <c r="D1533" s="76"/>
      <c r="E1533" s="77"/>
      <c r="F1533" s="78"/>
      <c r="G1533" s="78"/>
      <c r="H1533" s="79"/>
      <c r="I1533" s="80"/>
      <c r="J1533" s="77"/>
      <c r="K1533" s="81" t="b">
        <v>0</v>
      </c>
      <c r="L1533" s="78"/>
      <c r="M1533" s="82"/>
      <c r="N1533" s="78"/>
      <c r="O1533" s="78"/>
      <c r="P1533" s="78"/>
      <c r="Q1533" s="78"/>
      <c r="R1533" s="78"/>
      <c r="S1533" s="78"/>
      <c r="T1533" s="83"/>
    </row>
    <row r="1534" spans="1:20" ht="15" customHeight="1" x14ac:dyDescent="0.3">
      <c r="A1534" s="73"/>
      <c r="B1534" s="74"/>
      <c r="C1534" s="75"/>
      <c r="D1534" s="76"/>
      <c r="E1534" s="77"/>
      <c r="F1534" s="78"/>
      <c r="G1534" s="78"/>
      <c r="H1534" s="79"/>
      <c r="I1534" s="80"/>
      <c r="J1534" s="77"/>
      <c r="K1534" s="81" t="b">
        <v>0</v>
      </c>
      <c r="L1534" s="78"/>
      <c r="M1534" s="82"/>
      <c r="N1534" s="78"/>
      <c r="O1534" s="78"/>
      <c r="P1534" s="78"/>
      <c r="Q1534" s="78"/>
      <c r="R1534" s="78"/>
      <c r="S1534" s="78"/>
      <c r="T1534" s="83"/>
    </row>
    <row r="1535" spans="1:20" ht="15" customHeight="1" x14ac:dyDescent="0.3">
      <c r="A1535" s="73"/>
      <c r="B1535" s="74"/>
      <c r="C1535" s="75"/>
      <c r="D1535" s="76"/>
      <c r="E1535" s="77"/>
      <c r="F1535" s="78"/>
      <c r="G1535" s="78"/>
      <c r="H1535" s="79"/>
      <c r="I1535" s="80"/>
      <c r="J1535" s="77"/>
      <c r="K1535" s="81" t="b">
        <v>0</v>
      </c>
      <c r="L1535" s="78"/>
      <c r="M1535" s="82"/>
      <c r="N1535" s="78"/>
      <c r="O1535" s="78"/>
      <c r="P1535" s="78"/>
      <c r="Q1535" s="78"/>
      <c r="R1535" s="78"/>
      <c r="S1535" s="78"/>
      <c r="T1535" s="83"/>
    </row>
    <row r="1536" spans="1:20" ht="15" customHeight="1" x14ac:dyDescent="0.3">
      <c r="A1536" s="73"/>
      <c r="B1536" s="74"/>
      <c r="C1536" s="75"/>
      <c r="D1536" s="76"/>
      <c r="E1536" s="77"/>
      <c r="F1536" s="78"/>
      <c r="G1536" s="78"/>
      <c r="H1536" s="79"/>
      <c r="I1536" s="80"/>
      <c r="J1536" s="77"/>
      <c r="K1536" s="81" t="b">
        <v>0</v>
      </c>
      <c r="L1536" s="78"/>
      <c r="M1536" s="82"/>
      <c r="N1536" s="78"/>
      <c r="O1536" s="78"/>
      <c r="P1536" s="78"/>
      <c r="Q1536" s="78"/>
      <c r="R1536" s="78"/>
      <c r="S1536" s="78"/>
      <c r="T1536" s="83"/>
    </row>
    <row r="1537" spans="1:20" ht="15" customHeight="1" x14ac:dyDescent="0.3">
      <c r="A1537" s="73"/>
      <c r="B1537" s="74"/>
      <c r="C1537" s="75"/>
      <c r="D1537" s="76"/>
      <c r="E1537" s="77"/>
      <c r="F1537" s="78"/>
      <c r="G1537" s="78"/>
      <c r="H1537" s="79"/>
      <c r="I1537" s="80"/>
      <c r="J1537" s="77"/>
      <c r="K1537" s="81" t="b">
        <v>0</v>
      </c>
      <c r="L1537" s="78"/>
      <c r="M1537" s="82"/>
      <c r="N1537" s="78"/>
      <c r="O1537" s="78"/>
      <c r="P1537" s="78"/>
      <c r="Q1537" s="78"/>
      <c r="R1537" s="78"/>
      <c r="S1537" s="78"/>
      <c r="T1537" s="83"/>
    </row>
    <row r="1538" spans="1:20" ht="15" customHeight="1" x14ac:dyDescent="0.3">
      <c r="A1538" s="73"/>
      <c r="B1538" s="74"/>
      <c r="C1538" s="75"/>
      <c r="D1538" s="76"/>
      <c r="E1538" s="77"/>
      <c r="F1538" s="78"/>
      <c r="G1538" s="78"/>
      <c r="H1538" s="79"/>
      <c r="I1538" s="80"/>
      <c r="J1538" s="77"/>
      <c r="K1538" s="81" t="b">
        <v>0</v>
      </c>
      <c r="L1538" s="78"/>
      <c r="M1538" s="82"/>
      <c r="N1538" s="78"/>
      <c r="O1538" s="78"/>
      <c r="P1538" s="78"/>
      <c r="Q1538" s="78"/>
      <c r="R1538" s="78"/>
      <c r="S1538" s="78"/>
      <c r="T1538" s="83"/>
    </row>
    <row r="1539" spans="1:20" ht="15" customHeight="1" x14ac:dyDescent="0.3">
      <c r="A1539" s="73"/>
      <c r="B1539" s="74"/>
      <c r="C1539" s="75"/>
      <c r="D1539" s="76"/>
      <c r="E1539" s="77"/>
      <c r="F1539" s="78"/>
      <c r="G1539" s="78"/>
      <c r="H1539" s="79"/>
      <c r="I1539" s="80"/>
      <c r="J1539" s="77"/>
      <c r="K1539" s="81" t="b">
        <v>0</v>
      </c>
      <c r="L1539" s="78"/>
      <c r="M1539" s="82"/>
      <c r="N1539" s="78"/>
      <c r="O1539" s="78"/>
      <c r="P1539" s="78"/>
      <c r="Q1539" s="78"/>
      <c r="R1539" s="78"/>
      <c r="S1539" s="78"/>
      <c r="T1539" s="83"/>
    </row>
    <row r="1540" spans="1:20" ht="15" customHeight="1" x14ac:dyDescent="0.3">
      <c r="A1540" s="73"/>
      <c r="B1540" s="74"/>
      <c r="C1540" s="75"/>
      <c r="D1540" s="76"/>
      <c r="E1540" s="77"/>
      <c r="F1540" s="78"/>
      <c r="G1540" s="78"/>
      <c r="H1540" s="79"/>
      <c r="I1540" s="80"/>
      <c r="J1540" s="77"/>
      <c r="K1540" s="81" t="b">
        <v>0</v>
      </c>
      <c r="L1540" s="78"/>
      <c r="M1540" s="82"/>
      <c r="N1540" s="78"/>
      <c r="O1540" s="78"/>
      <c r="P1540" s="78"/>
      <c r="Q1540" s="78"/>
      <c r="R1540" s="78"/>
      <c r="S1540" s="78"/>
      <c r="T1540" s="83"/>
    </row>
    <row r="1541" spans="1:20" ht="15" customHeight="1" x14ac:dyDescent="0.3">
      <c r="A1541" s="73"/>
      <c r="B1541" s="74"/>
      <c r="C1541" s="75"/>
      <c r="D1541" s="76"/>
      <c r="E1541" s="77"/>
      <c r="F1541" s="78"/>
      <c r="G1541" s="78"/>
      <c r="H1541" s="79"/>
      <c r="I1541" s="80"/>
      <c r="J1541" s="77"/>
      <c r="K1541" s="81" t="b">
        <v>0</v>
      </c>
      <c r="L1541" s="78"/>
      <c r="M1541" s="82"/>
      <c r="N1541" s="78"/>
      <c r="O1541" s="78"/>
      <c r="P1541" s="78"/>
      <c r="Q1541" s="78"/>
      <c r="R1541" s="78"/>
      <c r="S1541" s="78"/>
      <c r="T1541" s="83"/>
    </row>
    <row r="1542" spans="1:20" ht="15" customHeight="1" x14ac:dyDescent="0.3">
      <c r="A1542" s="73"/>
      <c r="B1542" s="74"/>
      <c r="C1542" s="75"/>
      <c r="D1542" s="76"/>
      <c r="E1542" s="77"/>
      <c r="F1542" s="78"/>
      <c r="G1542" s="78"/>
      <c r="H1542" s="79"/>
      <c r="I1542" s="80"/>
      <c r="J1542" s="77"/>
      <c r="K1542" s="81" t="b">
        <v>0</v>
      </c>
      <c r="L1542" s="78"/>
      <c r="M1542" s="82"/>
      <c r="N1542" s="78"/>
      <c r="O1542" s="78"/>
      <c r="P1542" s="78"/>
      <c r="Q1542" s="78"/>
      <c r="R1542" s="78"/>
      <c r="S1542" s="78"/>
      <c r="T1542" s="83"/>
    </row>
    <row r="1543" spans="1:20" ht="15" customHeight="1" x14ac:dyDescent="0.3">
      <c r="A1543" s="73"/>
      <c r="B1543" s="74"/>
      <c r="C1543" s="75"/>
      <c r="D1543" s="76"/>
      <c r="E1543" s="77"/>
      <c r="F1543" s="78"/>
      <c r="G1543" s="78"/>
      <c r="H1543" s="79"/>
      <c r="I1543" s="80"/>
      <c r="J1543" s="77"/>
      <c r="K1543" s="81" t="b">
        <v>0</v>
      </c>
      <c r="L1543" s="78"/>
      <c r="M1543" s="82"/>
      <c r="N1543" s="78"/>
      <c r="O1543" s="78"/>
      <c r="P1543" s="78"/>
      <c r="Q1543" s="78"/>
      <c r="R1543" s="78"/>
      <c r="S1543" s="78"/>
      <c r="T1543" s="83"/>
    </row>
    <row r="1544" spans="1:20" ht="15" customHeight="1" x14ac:dyDescent="0.3">
      <c r="A1544" s="73"/>
      <c r="B1544" s="74"/>
      <c r="C1544" s="75"/>
      <c r="D1544" s="76"/>
      <c r="E1544" s="77"/>
      <c r="F1544" s="78"/>
      <c r="G1544" s="78"/>
      <c r="H1544" s="79"/>
      <c r="I1544" s="80"/>
      <c r="J1544" s="77"/>
      <c r="K1544" s="81" t="b">
        <v>0</v>
      </c>
      <c r="L1544" s="78"/>
      <c r="M1544" s="82"/>
      <c r="N1544" s="78"/>
      <c r="O1544" s="78"/>
      <c r="P1544" s="78"/>
      <c r="Q1544" s="78"/>
      <c r="R1544" s="78"/>
      <c r="S1544" s="78"/>
      <c r="T1544" s="83"/>
    </row>
    <row r="1545" spans="1:20" ht="15" customHeight="1" x14ac:dyDescent="0.3">
      <c r="A1545" s="73"/>
      <c r="B1545" s="74"/>
      <c r="C1545" s="75"/>
      <c r="D1545" s="76"/>
      <c r="E1545" s="77"/>
      <c r="F1545" s="78"/>
      <c r="G1545" s="78"/>
      <c r="H1545" s="79"/>
      <c r="I1545" s="80"/>
      <c r="J1545" s="77"/>
      <c r="K1545" s="81" t="b">
        <v>0</v>
      </c>
      <c r="L1545" s="78"/>
      <c r="M1545" s="82"/>
      <c r="N1545" s="78"/>
      <c r="O1545" s="78"/>
      <c r="P1545" s="78"/>
      <c r="Q1545" s="78"/>
      <c r="R1545" s="78"/>
      <c r="S1545" s="78"/>
      <c r="T1545" s="83"/>
    </row>
    <row r="1546" spans="1:20" ht="15" customHeight="1" x14ac:dyDescent="0.3">
      <c r="A1546" s="73"/>
      <c r="B1546" s="74"/>
      <c r="C1546" s="75"/>
      <c r="D1546" s="76"/>
      <c r="E1546" s="77"/>
      <c r="F1546" s="78"/>
      <c r="G1546" s="78"/>
      <c r="H1546" s="79"/>
      <c r="I1546" s="80"/>
      <c r="J1546" s="77"/>
      <c r="K1546" s="81" t="b">
        <v>0</v>
      </c>
      <c r="L1546" s="78"/>
      <c r="M1546" s="82"/>
      <c r="N1546" s="78"/>
      <c r="O1546" s="78"/>
      <c r="P1546" s="78"/>
      <c r="Q1546" s="78"/>
      <c r="R1546" s="78"/>
      <c r="S1546" s="78"/>
      <c r="T1546" s="83"/>
    </row>
    <row r="1547" spans="1:20" ht="15" customHeight="1" x14ac:dyDescent="0.3">
      <c r="A1547" s="73"/>
      <c r="B1547" s="74"/>
      <c r="C1547" s="75"/>
      <c r="D1547" s="76"/>
      <c r="E1547" s="77"/>
      <c r="F1547" s="78"/>
      <c r="G1547" s="78"/>
      <c r="H1547" s="79"/>
      <c r="I1547" s="80"/>
      <c r="J1547" s="77"/>
      <c r="K1547" s="81" t="b">
        <v>0</v>
      </c>
      <c r="L1547" s="78"/>
      <c r="M1547" s="82"/>
      <c r="N1547" s="78"/>
      <c r="O1547" s="78"/>
      <c r="P1547" s="78"/>
      <c r="Q1547" s="78"/>
      <c r="R1547" s="78"/>
      <c r="S1547" s="78"/>
      <c r="T1547" s="83"/>
    </row>
    <row r="1548" spans="1:20" ht="15" customHeight="1" x14ac:dyDescent="0.3">
      <c r="A1548" s="73"/>
      <c r="B1548" s="74"/>
      <c r="C1548" s="75"/>
      <c r="D1548" s="76"/>
      <c r="E1548" s="77"/>
      <c r="F1548" s="78"/>
      <c r="G1548" s="78"/>
      <c r="H1548" s="79"/>
      <c r="I1548" s="80"/>
      <c r="J1548" s="77"/>
      <c r="K1548" s="81" t="b">
        <v>0</v>
      </c>
      <c r="L1548" s="78"/>
      <c r="M1548" s="82"/>
      <c r="N1548" s="78"/>
      <c r="O1548" s="78"/>
      <c r="P1548" s="78"/>
      <c r="Q1548" s="78"/>
      <c r="R1548" s="78"/>
      <c r="S1548" s="78"/>
      <c r="T1548" s="83"/>
    </row>
    <row r="1549" spans="1:20" ht="15" customHeight="1" x14ac:dyDescent="0.3">
      <c r="A1549" s="73"/>
      <c r="B1549" s="74"/>
      <c r="C1549" s="75"/>
      <c r="D1549" s="76"/>
      <c r="E1549" s="77"/>
      <c r="F1549" s="78"/>
      <c r="G1549" s="78"/>
      <c r="H1549" s="79"/>
      <c r="I1549" s="80"/>
      <c r="J1549" s="77"/>
      <c r="K1549" s="81" t="b">
        <v>0</v>
      </c>
      <c r="L1549" s="78"/>
      <c r="M1549" s="82"/>
      <c r="N1549" s="78"/>
      <c r="O1549" s="78"/>
      <c r="P1549" s="78"/>
      <c r="Q1549" s="78"/>
      <c r="R1549" s="78"/>
      <c r="S1549" s="78"/>
      <c r="T1549" s="83"/>
    </row>
    <row r="1550" spans="1:20" ht="15" customHeight="1" x14ac:dyDescent="0.3">
      <c r="A1550" s="73"/>
      <c r="B1550" s="74"/>
      <c r="C1550" s="75"/>
      <c r="D1550" s="76"/>
      <c r="E1550" s="77"/>
      <c r="F1550" s="78"/>
      <c r="G1550" s="78"/>
      <c r="H1550" s="79"/>
      <c r="I1550" s="80"/>
      <c r="J1550" s="77"/>
      <c r="K1550" s="81" t="b">
        <v>0</v>
      </c>
      <c r="L1550" s="78"/>
      <c r="M1550" s="82"/>
      <c r="N1550" s="78"/>
      <c r="O1550" s="78"/>
      <c r="P1550" s="78"/>
      <c r="Q1550" s="78"/>
      <c r="R1550" s="78"/>
      <c r="S1550" s="78"/>
      <c r="T1550" s="83"/>
    </row>
    <row r="1551" spans="1:20" ht="15" customHeight="1" x14ac:dyDescent="0.3">
      <c r="A1551" s="73"/>
      <c r="B1551" s="74"/>
      <c r="C1551" s="75"/>
      <c r="D1551" s="76"/>
      <c r="E1551" s="77"/>
      <c r="F1551" s="78"/>
      <c r="G1551" s="78"/>
      <c r="H1551" s="79"/>
      <c r="I1551" s="80"/>
      <c r="J1551" s="77"/>
      <c r="K1551" s="81" t="b">
        <v>0</v>
      </c>
      <c r="L1551" s="78"/>
      <c r="M1551" s="82"/>
      <c r="N1551" s="78"/>
      <c r="O1551" s="78"/>
      <c r="P1551" s="78"/>
      <c r="Q1551" s="78"/>
      <c r="R1551" s="78"/>
      <c r="S1551" s="78"/>
      <c r="T1551" s="83"/>
    </row>
    <row r="1552" spans="1:20" ht="15" customHeight="1" x14ac:dyDescent="0.3">
      <c r="A1552" s="73"/>
      <c r="B1552" s="74"/>
      <c r="C1552" s="75"/>
      <c r="D1552" s="76"/>
      <c r="E1552" s="77"/>
      <c r="F1552" s="78"/>
      <c r="G1552" s="78"/>
      <c r="H1552" s="79"/>
      <c r="I1552" s="80"/>
      <c r="J1552" s="77"/>
      <c r="K1552" s="81" t="b">
        <v>0</v>
      </c>
      <c r="L1552" s="78"/>
      <c r="M1552" s="82"/>
      <c r="N1552" s="78"/>
      <c r="O1552" s="78"/>
      <c r="P1552" s="78"/>
      <c r="Q1552" s="78"/>
      <c r="R1552" s="78"/>
      <c r="S1552" s="78"/>
      <c r="T1552" s="83"/>
    </row>
    <row r="1553" spans="1:20" ht="15" customHeight="1" x14ac:dyDescent="0.3">
      <c r="A1553" s="73"/>
      <c r="B1553" s="74"/>
      <c r="C1553" s="75"/>
      <c r="D1553" s="76"/>
      <c r="E1553" s="77"/>
      <c r="F1553" s="78"/>
      <c r="G1553" s="78"/>
      <c r="H1553" s="79"/>
      <c r="I1553" s="80"/>
      <c r="J1553" s="77"/>
      <c r="K1553" s="81" t="b">
        <v>0</v>
      </c>
      <c r="L1553" s="78"/>
      <c r="M1553" s="82"/>
      <c r="N1553" s="78"/>
      <c r="O1553" s="78"/>
      <c r="P1553" s="78"/>
      <c r="Q1553" s="78"/>
      <c r="R1553" s="78"/>
      <c r="S1553" s="78"/>
      <c r="T1553" s="83"/>
    </row>
    <row r="1554" spans="1:20" ht="15" customHeight="1" x14ac:dyDescent="0.3">
      <c r="A1554" s="73"/>
      <c r="B1554" s="74"/>
      <c r="C1554" s="75"/>
      <c r="D1554" s="76"/>
      <c r="E1554" s="77"/>
      <c r="F1554" s="78"/>
      <c r="G1554" s="78"/>
      <c r="H1554" s="79"/>
      <c r="I1554" s="80"/>
      <c r="J1554" s="77"/>
      <c r="K1554" s="81" t="b">
        <v>0</v>
      </c>
      <c r="L1554" s="78"/>
      <c r="M1554" s="82"/>
      <c r="N1554" s="78"/>
      <c r="O1554" s="78"/>
      <c r="P1554" s="78"/>
      <c r="Q1554" s="78"/>
      <c r="R1554" s="78"/>
      <c r="S1554" s="78"/>
      <c r="T1554" s="83"/>
    </row>
    <row r="1555" spans="1:20" ht="15" customHeight="1" x14ac:dyDescent="0.3">
      <c r="A1555" s="73"/>
      <c r="B1555" s="74"/>
      <c r="C1555" s="75"/>
      <c r="D1555" s="76"/>
      <c r="E1555" s="77"/>
      <c r="F1555" s="78"/>
      <c r="G1555" s="78"/>
      <c r="H1555" s="79"/>
      <c r="I1555" s="80"/>
      <c r="J1555" s="77"/>
      <c r="K1555" s="81" t="b">
        <v>0</v>
      </c>
      <c r="L1555" s="78"/>
      <c r="M1555" s="82"/>
      <c r="N1555" s="78"/>
      <c r="O1555" s="78"/>
      <c r="P1555" s="78"/>
      <c r="Q1555" s="78"/>
      <c r="R1555" s="78"/>
      <c r="S1555" s="78"/>
      <c r="T1555" s="83"/>
    </row>
    <row r="1556" spans="1:20" ht="15" customHeight="1" x14ac:dyDescent="0.3">
      <c r="A1556" s="73"/>
      <c r="B1556" s="74"/>
      <c r="C1556" s="75"/>
      <c r="D1556" s="76"/>
      <c r="E1556" s="77"/>
      <c r="F1556" s="78"/>
      <c r="G1556" s="78"/>
      <c r="H1556" s="79"/>
      <c r="I1556" s="80"/>
      <c r="J1556" s="77"/>
      <c r="K1556" s="81" t="b">
        <v>0</v>
      </c>
      <c r="L1556" s="78"/>
      <c r="M1556" s="82"/>
      <c r="N1556" s="78"/>
      <c r="O1556" s="78"/>
      <c r="P1556" s="78"/>
      <c r="Q1556" s="78"/>
      <c r="R1556" s="78"/>
      <c r="S1556" s="78"/>
      <c r="T1556" s="83"/>
    </row>
    <row r="1557" spans="1:20" ht="15" customHeight="1" x14ac:dyDescent="0.3">
      <c r="A1557" s="73"/>
      <c r="B1557" s="74"/>
      <c r="C1557" s="75"/>
      <c r="D1557" s="76"/>
      <c r="E1557" s="77"/>
      <c r="F1557" s="78"/>
      <c r="G1557" s="78"/>
      <c r="H1557" s="79"/>
      <c r="I1557" s="80"/>
      <c r="J1557" s="77"/>
      <c r="K1557" s="81" t="b">
        <v>0</v>
      </c>
      <c r="L1557" s="78"/>
      <c r="M1557" s="82"/>
      <c r="N1557" s="78"/>
      <c r="O1557" s="78"/>
      <c r="P1557" s="78"/>
      <c r="Q1557" s="78"/>
      <c r="R1557" s="78"/>
      <c r="S1557" s="78"/>
      <c r="T1557" s="83"/>
    </row>
    <row r="1558" spans="1:20" ht="15" customHeight="1" x14ac:dyDescent="0.3">
      <c r="A1558" s="73"/>
      <c r="B1558" s="74"/>
      <c r="C1558" s="75"/>
      <c r="D1558" s="76"/>
      <c r="E1558" s="77"/>
      <c r="F1558" s="78"/>
      <c r="G1558" s="78"/>
      <c r="H1558" s="79"/>
      <c r="I1558" s="80"/>
      <c r="J1558" s="77"/>
      <c r="K1558" s="81" t="b">
        <v>0</v>
      </c>
      <c r="L1558" s="78"/>
      <c r="M1558" s="82"/>
      <c r="N1558" s="78"/>
      <c r="O1558" s="78"/>
      <c r="P1558" s="78"/>
      <c r="Q1558" s="78"/>
      <c r="R1558" s="78"/>
      <c r="S1558" s="78"/>
      <c r="T1558" s="83"/>
    </row>
    <row r="1559" spans="1:20" ht="15" customHeight="1" x14ac:dyDescent="0.3">
      <c r="A1559" s="73"/>
      <c r="B1559" s="74"/>
      <c r="C1559" s="75"/>
      <c r="D1559" s="76"/>
      <c r="E1559" s="77"/>
      <c r="F1559" s="78"/>
      <c r="G1559" s="78"/>
      <c r="H1559" s="79"/>
      <c r="I1559" s="80"/>
      <c r="J1559" s="77"/>
      <c r="K1559" s="81" t="b">
        <v>0</v>
      </c>
      <c r="L1559" s="78"/>
      <c r="M1559" s="82"/>
      <c r="N1559" s="78"/>
      <c r="O1559" s="78"/>
      <c r="P1559" s="78"/>
      <c r="Q1559" s="78"/>
      <c r="R1559" s="78"/>
      <c r="S1559" s="78"/>
      <c r="T1559" s="83"/>
    </row>
    <row r="1560" spans="1:20" ht="15" customHeight="1" x14ac:dyDescent="0.3">
      <c r="A1560" s="73"/>
      <c r="B1560" s="74"/>
      <c r="C1560" s="75"/>
      <c r="D1560" s="76"/>
      <c r="E1560" s="77"/>
      <c r="F1560" s="78"/>
      <c r="G1560" s="78"/>
      <c r="H1560" s="79"/>
      <c r="I1560" s="80"/>
      <c r="J1560" s="77"/>
      <c r="K1560" s="81" t="b">
        <v>0</v>
      </c>
      <c r="L1560" s="78"/>
      <c r="M1560" s="82"/>
      <c r="N1560" s="78"/>
      <c r="O1560" s="78"/>
      <c r="P1560" s="78"/>
      <c r="Q1560" s="78"/>
      <c r="R1560" s="78"/>
      <c r="S1560" s="78"/>
      <c r="T1560" s="83"/>
    </row>
    <row r="1561" spans="1:20" ht="15" customHeight="1" x14ac:dyDescent="0.3">
      <c r="A1561" s="73"/>
      <c r="B1561" s="74"/>
      <c r="C1561" s="75"/>
      <c r="D1561" s="76"/>
      <c r="E1561" s="77"/>
      <c r="F1561" s="78"/>
      <c r="G1561" s="78"/>
      <c r="H1561" s="79"/>
      <c r="I1561" s="80"/>
      <c r="J1561" s="77"/>
      <c r="K1561" s="81" t="b">
        <v>0</v>
      </c>
      <c r="L1561" s="78"/>
      <c r="M1561" s="82"/>
      <c r="N1561" s="78"/>
      <c r="O1561" s="78"/>
      <c r="P1561" s="78"/>
      <c r="Q1561" s="78"/>
      <c r="R1561" s="78"/>
      <c r="S1561" s="78"/>
      <c r="T1561" s="83"/>
    </row>
    <row r="1562" spans="1:20" ht="15" customHeight="1" x14ac:dyDescent="0.3">
      <c r="A1562" s="73"/>
      <c r="B1562" s="74"/>
      <c r="C1562" s="75"/>
      <c r="D1562" s="76"/>
      <c r="E1562" s="77"/>
      <c r="F1562" s="78"/>
      <c r="G1562" s="78"/>
      <c r="H1562" s="79"/>
      <c r="I1562" s="80"/>
      <c r="J1562" s="77"/>
      <c r="K1562" s="81" t="b">
        <v>0</v>
      </c>
      <c r="L1562" s="78"/>
      <c r="M1562" s="82"/>
      <c r="N1562" s="78"/>
      <c r="O1562" s="78"/>
      <c r="P1562" s="78"/>
      <c r="Q1562" s="78"/>
      <c r="R1562" s="78"/>
      <c r="S1562" s="78"/>
      <c r="T1562" s="83"/>
    </row>
    <row r="1563" spans="1:20" ht="15" customHeight="1" x14ac:dyDescent="0.3">
      <c r="A1563" s="73"/>
      <c r="B1563" s="74"/>
      <c r="C1563" s="75"/>
      <c r="D1563" s="76"/>
      <c r="E1563" s="77"/>
      <c r="F1563" s="78"/>
      <c r="G1563" s="78"/>
      <c r="H1563" s="79"/>
      <c r="I1563" s="80"/>
      <c r="J1563" s="77"/>
      <c r="K1563" s="81" t="b">
        <v>0</v>
      </c>
      <c r="L1563" s="78"/>
      <c r="M1563" s="82"/>
      <c r="N1563" s="78"/>
      <c r="O1563" s="78"/>
      <c r="P1563" s="78"/>
      <c r="Q1563" s="78"/>
      <c r="R1563" s="78"/>
      <c r="S1563" s="78"/>
      <c r="T1563" s="83"/>
    </row>
    <row r="1564" spans="1:20" ht="15" customHeight="1" x14ac:dyDescent="0.3">
      <c r="A1564" s="73"/>
      <c r="B1564" s="74"/>
      <c r="C1564" s="75"/>
      <c r="D1564" s="76"/>
      <c r="E1564" s="77"/>
      <c r="F1564" s="78"/>
      <c r="G1564" s="78"/>
      <c r="H1564" s="79"/>
      <c r="I1564" s="80"/>
      <c r="J1564" s="77"/>
      <c r="K1564" s="81" t="b">
        <v>0</v>
      </c>
      <c r="L1564" s="78"/>
      <c r="M1564" s="82"/>
      <c r="N1564" s="78"/>
      <c r="O1564" s="78"/>
      <c r="P1564" s="78"/>
      <c r="Q1564" s="78"/>
      <c r="R1564" s="78"/>
      <c r="S1564" s="78"/>
      <c r="T1564" s="83"/>
    </row>
    <row r="1565" spans="1:20" ht="15" customHeight="1" x14ac:dyDescent="0.3">
      <c r="A1565" s="73"/>
      <c r="B1565" s="74"/>
      <c r="C1565" s="75"/>
      <c r="D1565" s="76"/>
      <c r="E1565" s="77"/>
      <c r="F1565" s="78"/>
      <c r="G1565" s="78"/>
      <c r="H1565" s="79"/>
      <c r="I1565" s="80"/>
      <c r="J1565" s="77"/>
      <c r="K1565" s="81" t="b">
        <v>0</v>
      </c>
      <c r="L1565" s="78"/>
      <c r="M1565" s="82"/>
      <c r="N1565" s="78"/>
      <c r="O1565" s="78"/>
      <c r="P1565" s="78"/>
      <c r="Q1565" s="78"/>
      <c r="R1565" s="78"/>
      <c r="S1565" s="78"/>
      <c r="T1565" s="83"/>
    </row>
    <row r="1566" spans="1:20" ht="15" customHeight="1" x14ac:dyDescent="0.3">
      <c r="A1566" s="73"/>
      <c r="B1566" s="74"/>
      <c r="C1566" s="75"/>
      <c r="D1566" s="76"/>
      <c r="E1566" s="77"/>
      <c r="F1566" s="78"/>
      <c r="G1566" s="78"/>
      <c r="H1566" s="79"/>
      <c r="I1566" s="80"/>
      <c r="J1566" s="77"/>
      <c r="K1566" s="81" t="b">
        <v>0</v>
      </c>
      <c r="L1566" s="78"/>
      <c r="M1566" s="82"/>
      <c r="N1566" s="78"/>
      <c r="O1566" s="78"/>
      <c r="P1566" s="78"/>
      <c r="Q1566" s="78"/>
      <c r="R1566" s="78"/>
      <c r="S1566" s="78"/>
      <c r="T1566" s="83"/>
    </row>
    <row r="1567" spans="1:20" ht="15" customHeight="1" x14ac:dyDescent="0.3">
      <c r="A1567" s="73"/>
      <c r="B1567" s="74"/>
      <c r="C1567" s="75"/>
      <c r="D1567" s="76"/>
      <c r="E1567" s="77"/>
      <c r="F1567" s="78"/>
      <c r="G1567" s="78"/>
      <c r="H1567" s="79"/>
      <c r="I1567" s="80"/>
      <c r="J1567" s="77"/>
      <c r="K1567" s="81" t="b">
        <v>0</v>
      </c>
      <c r="L1567" s="78"/>
      <c r="M1567" s="82"/>
      <c r="N1567" s="78"/>
      <c r="O1567" s="78"/>
      <c r="P1567" s="78"/>
      <c r="Q1567" s="78"/>
      <c r="R1567" s="78"/>
      <c r="S1567" s="78"/>
      <c r="T1567" s="83"/>
    </row>
    <row r="1568" spans="1:20" ht="15" customHeight="1" x14ac:dyDescent="0.3">
      <c r="A1568" s="73"/>
      <c r="B1568" s="74"/>
      <c r="C1568" s="75"/>
      <c r="D1568" s="76"/>
      <c r="E1568" s="77"/>
      <c r="F1568" s="78"/>
      <c r="G1568" s="78"/>
      <c r="H1568" s="79"/>
      <c r="I1568" s="80"/>
      <c r="J1568" s="77"/>
      <c r="K1568" s="81" t="b">
        <v>0</v>
      </c>
      <c r="L1568" s="78"/>
      <c r="M1568" s="82"/>
      <c r="N1568" s="78"/>
      <c r="O1568" s="78"/>
      <c r="P1568" s="78"/>
      <c r="Q1568" s="78"/>
      <c r="R1568" s="78"/>
      <c r="S1568" s="78"/>
      <c r="T1568" s="83"/>
    </row>
    <row r="1569" spans="1:20" ht="15" customHeight="1" x14ac:dyDescent="0.3">
      <c r="A1569" s="73"/>
      <c r="B1569" s="74"/>
      <c r="C1569" s="75"/>
      <c r="D1569" s="76"/>
      <c r="E1569" s="77"/>
      <c r="F1569" s="78"/>
      <c r="G1569" s="78"/>
      <c r="H1569" s="79"/>
      <c r="I1569" s="80"/>
      <c r="J1569" s="77"/>
      <c r="K1569" s="81" t="b">
        <v>0</v>
      </c>
      <c r="L1569" s="78"/>
      <c r="M1569" s="82"/>
      <c r="N1569" s="78"/>
      <c r="O1569" s="78"/>
      <c r="P1569" s="78"/>
      <c r="Q1569" s="78"/>
      <c r="R1569" s="78"/>
      <c r="S1569" s="78"/>
      <c r="T1569" s="83"/>
    </row>
    <row r="1570" spans="1:20" ht="15" customHeight="1" x14ac:dyDescent="0.3">
      <c r="A1570" s="73"/>
      <c r="B1570" s="74"/>
      <c r="C1570" s="75"/>
      <c r="D1570" s="76"/>
      <c r="E1570" s="77"/>
      <c r="F1570" s="78"/>
      <c r="G1570" s="78"/>
      <c r="H1570" s="79"/>
      <c r="I1570" s="80"/>
      <c r="J1570" s="77"/>
      <c r="K1570" s="81" t="b">
        <v>0</v>
      </c>
      <c r="L1570" s="78"/>
      <c r="M1570" s="82"/>
      <c r="N1570" s="78"/>
      <c r="O1570" s="78"/>
      <c r="P1570" s="78"/>
      <c r="Q1570" s="78"/>
      <c r="R1570" s="78"/>
      <c r="S1570" s="78"/>
      <c r="T1570" s="83"/>
    </row>
    <row r="1571" spans="1:20" ht="15" customHeight="1" x14ac:dyDescent="0.3">
      <c r="A1571" s="73"/>
      <c r="B1571" s="74"/>
      <c r="C1571" s="75"/>
      <c r="D1571" s="76"/>
      <c r="E1571" s="77"/>
      <c r="F1571" s="78"/>
      <c r="G1571" s="78"/>
      <c r="H1571" s="79"/>
      <c r="I1571" s="80"/>
      <c r="J1571" s="77"/>
      <c r="K1571" s="81" t="b">
        <v>0</v>
      </c>
      <c r="L1571" s="78"/>
      <c r="M1571" s="82"/>
      <c r="N1571" s="78"/>
      <c r="O1571" s="78"/>
      <c r="P1571" s="78"/>
      <c r="Q1571" s="78"/>
      <c r="R1571" s="78"/>
      <c r="S1571" s="78"/>
      <c r="T1571" s="83"/>
    </row>
    <row r="1572" spans="1:20" ht="15" customHeight="1" x14ac:dyDescent="0.3">
      <c r="A1572" s="73"/>
      <c r="B1572" s="74"/>
      <c r="C1572" s="75"/>
      <c r="D1572" s="76"/>
      <c r="E1572" s="77"/>
      <c r="F1572" s="78"/>
      <c r="G1572" s="78"/>
      <c r="H1572" s="79"/>
      <c r="I1572" s="80"/>
      <c r="J1572" s="77"/>
      <c r="K1572" s="81" t="b">
        <v>0</v>
      </c>
      <c r="L1572" s="78"/>
      <c r="M1572" s="82"/>
      <c r="N1572" s="78"/>
      <c r="O1572" s="78"/>
      <c r="P1572" s="78"/>
      <c r="Q1572" s="78"/>
      <c r="R1572" s="78"/>
      <c r="S1572" s="78"/>
      <c r="T1572" s="83"/>
    </row>
    <row r="1573" spans="1:20" ht="15" customHeight="1" x14ac:dyDescent="0.3">
      <c r="A1573" s="73"/>
      <c r="B1573" s="74"/>
      <c r="C1573" s="75"/>
      <c r="D1573" s="76"/>
      <c r="E1573" s="77"/>
      <c r="F1573" s="78"/>
      <c r="G1573" s="78"/>
      <c r="H1573" s="79"/>
      <c r="I1573" s="80"/>
      <c r="J1573" s="77"/>
      <c r="K1573" s="81" t="b">
        <v>0</v>
      </c>
      <c r="L1573" s="78"/>
      <c r="M1573" s="82"/>
      <c r="N1573" s="78"/>
      <c r="O1573" s="78"/>
      <c r="P1573" s="78"/>
      <c r="Q1573" s="78"/>
      <c r="R1573" s="78"/>
      <c r="S1573" s="78"/>
      <c r="T1573" s="83"/>
    </row>
    <row r="1574" spans="1:20" ht="15" customHeight="1" x14ac:dyDescent="0.3">
      <c r="A1574" s="73"/>
      <c r="B1574" s="74"/>
      <c r="C1574" s="75"/>
      <c r="D1574" s="76"/>
      <c r="E1574" s="77"/>
      <c r="F1574" s="78"/>
      <c r="G1574" s="78"/>
      <c r="H1574" s="79"/>
      <c r="I1574" s="80"/>
      <c r="J1574" s="77"/>
      <c r="K1574" s="81" t="b">
        <v>0</v>
      </c>
      <c r="L1574" s="78"/>
      <c r="M1574" s="82"/>
      <c r="N1574" s="78"/>
      <c r="O1574" s="78"/>
      <c r="P1574" s="78"/>
      <c r="Q1574" s="78"/>
      <c r="R1574" s="78"/>
      <c r="S1574" s="78"/>
      <c r="T1574" s="83"/>
    </row>
    <row r="1575" spans="1:20" ht="15" customHeight="1" x14ac:dyDescent="0.3">
      <c r="A1575" s="73"/>
      <c r="B1575" s="74"/>
      <c r="C1575" s="75"/>
      <c r="D1575" s="76"/>
      <c r="E1575" s="77"/>
      <c r="F1575" s="78"/>
      <c r="G1575" s="78"/>
      <c r="H1575" s="79"/>
      <c r="I1575" s="80"/>
      <c r="J1575" s="77"/>
      <c r="K1575" s="81" t="b">
        <v>0</v>
      </c>
      <c r="L1575" s="78"/>
      <c r="M1575" s="82"/>
      <c r="N1575" s="78"/>
      <c r="O1575" s="78"/>
      <c r="P1575" s="78"/>
      <c r="Q1575" s="78"/>
      <c r="R1575" s="78"/>
      <c r="S1575" s="78"/>
      <c r="T1575" s="83"/>
    </row>
    <row r="1576" spans="1:20" ht="15" customHeight="1" x14ac:dyDescent="0.3">
      <c r="A1576" s="73"/>
      <c r="B1576" s="74"/>
      <c r="C1576" s="75"/>
      <c r="D1576" s="76"/>
      <c r="E1576" s="77"/>
      <c r="F1576" s="78"/>
      <c r="G1576" s="78"/>
      <c r="H1576" s="79"/>
      <c r="I1576" s="80"/>
      <c r="J1576" s="77"/>
      <c r="K1576" s="81" t="b">
        <v>0</v>
      </c>
      <c r="L1576" s="78"/>
      <c r="M1576" s="82"/>
      <c r="N1576" s="78"/>
      <c r="O1576" s="78"/>
      <c r="P1576" s="78"/>
      <c r="Q1576" s="78"/>
      <c r="R1576" s="78"/>
      <c r="S1576" s="78"/>
      <c r="T1576" s="83"/>
    </row>
    <row r="1577" spans="1:20" ht="15" customHeight="1" x14ac:dyDescent="0.3">
      <c r="A1577" s="73"/>
      <c r="B1577" s="74"/>
      <c r="C1577" s="75"/>
      <c r="D1577" s="76"/>
      <c r="E1577" s="77"/>
      <c r="F1577" s="78"/>
      <c r="G1577" s="78"/>
      <c r="H1577" s="79"/>
      <c r="I1577" s="80"/>
      <c r="J1577" s="77"/>
      <c r="K1577" s="81" t="b">
        <v>0</v>
      </c>
      <c r="L1577" s="78"/>
      <c r="M1577" s="82"/>
      <c r="N1577" s="78"/>
      <c r="O1577" s="78"/>
      <c r="P1577" s="78"/>
      <c r="Q1577" s="78"/>
      <c r="R1577" s="78"/>
      <c r="S1577" s="78"/>
      <c r="T1577" s="83"/>
    </row>
    <row r="1578" spans="1:20" ht="15" customHeight="1" x14ac:dyDescent="0.3">
      <c r="A1578" s="73"/>
      <c r="B1578" s="74"/>
      <c r="C1578" s="75"/>
      <c r="D1578" s="76"/>
      <c r="E1578" s="77"/>
      <c r="F1578" s="78"/>
      <c r="G1578" s="78"/>
      <c r="H1578" s="79"/>
      <c r="I1578" s="80"/>
      <c r="J1578" s="77"/>
      <c r="K1578" s="81" t="b">
        <v>0</v>
      </c>
      <c r="L1578" s="78"/>
      <c r="M1578" s="82"/>
      <c r="N1578" s="78"/>
      <c r="O1578" s="78"/>
      <c r="P1578" s="78"/>
      <c r="Q1578" s="78"/>
      <c r="R1578" s="78"/>
      <c r="S1578" s="78"/>
      <c r="T1578" s="83"/>
    </row>
    <row r="1579" spans="1:20" ht="15" customHeight="1" x14ac:dyDescent="0.3">
      <c r="A1579" s="73"/>
      <c r="B1579" s="74"/>
      <c r="C1579" s="75"/>
      <c r="D1579" s="76"/>
      <c r="E1579" s="77"/>
      <c r="F1579" s="78"/>
      <c r="G1579" s="78"/>
      <c r="H1579" s="79"/>
      <c r="I1579" s="80"/>
      <c r="J1579" s="77"/>
      <c r="K1579" s="81" t="b">
        <v>0</v>
      </c>
      <c r="L1579" s="78"/>
      <c r="M1579" s="82"/>
      <c r="N1579" s="78"/>
      <c r="O1579" s="78"/>
      <c r="P1579" s="78"/>
      <c r="Q1579" s="78"/>
      <c r="R1579" s="78"/>
      <c r="S1579" s="78"/>
      <c r="T1579" s="83"/>
    </row>
    <row r="1580" spans="1:20" ht="15" customHeight="1" x14ac:dyDescent="0.3">
      <c r="A1580" s="73"/>
      <c r="B1580" s="74"/>
      <c r="C1580" s="75"/>
      <c r="D1580" s="76"/>
      <c r="E1580" s="77"/>
      <c r="F1580" s="78"/>
      <c r="G1580" s="78"/>
      <c r="H1580" s="79"/>
      <c r="I1580" s="80"/>
      <c r="J1580" s="77"/>
      <c r="K1580" s="81" t="b">
        <v>0</v>
      </c>
      <c r="L1580" s="78"/>
      <c r="M1580" s="82"/>
      <c r="N1580" s="78"/>
      <c r="O1580" s="78"/>
      <c r="P1580" s="78"/>
      <c r="Q1580" s="78"/>
      <c r="R1580" s="78"/>
      <c r="S1580" s="78"/>
      <c r="T1580" s="83"/>
    </row>
    <row r="1581" spans="1:20" ht="15" customHeight="1" x14ac:dyDescent="0.3">
      <c r="A1581" s="73"/>
      <c r="B1581" s="74"/>
      <c r="C1581" s="75"/>
      <c r="D1581" s="76"/>
      <c r="E1581" s="77"/>
      <c r="F1581" s="78"/>
      <c r="G1581" s="78"/>
      <c r="H1581" s="79"/>
      <c r="I1581" s="80"/>
      <c r="J1581" s="77"/>
      <c r="K1581" s="81" t="b">
        <v>0</v>
      </c>
      <c r="L1581" s="78"/>
      <c r="M1581" s="82"/>
      <c r="N1581" s="78"/>
      <c r="O1581" s="78"/>
      <c r="P1581" s="78"/>
      <c r="Q1581" s="78"/>
      <c r="R1581" s="78"/>
      <c r="S1581" s="78"/>
      <c r="T1581" s="83"/>
    </row>
    <row r="1582" spans="1:20" ht="15" customHeight="1" x14ac:dyDescent="0.3">
      <c r="A1582" s="73"/>
      <c r="B1582" s="74"/>
      <c r="C1582" s="75"/>
      <c r="D1582" s="76"/>
      <c r="E1582" s="77"/>
      <c r="F1582" s="78"/>
      <c r="G1582" s="78"/>
      <c r="H1582" s="79"/>
      <c r="I1582" s="80"/>
      <c r="J1582" s="77"/>
      <c r="K1582" s="81" t="b">
        <v>0</v>
      </c>
      <c r="L1582" s="78"/>
      <c r="M1582" s="82"/>
      <c r="N1582" s="78"/>
      <c r="O1582" s="78"/>
      <c r="P1582" s="78"/>
      <c r="Q1582" s="78"/>
      <c r="R1582" s="78"/>
      <c r="S1582" s="78"/>
      <c r="T1582" s="83"/>
    </row>
    <row r="1583" spans="1:20" ht="15" customHeight="1" x14ac:dyDescent="0.3">
      <c r="A1583" s="73"/>
      <c r="B1583" s="74"/>
      <c r="C1583" s="75"/>
      <c r="D1583" s="76"/>
      <c r="E1583" s="77"/>
      <c r="F1583" s="78"/>
      <c r="G1583" s="78"/>
      <c r="H1583" s="79"/>
      <c r="I1583" s="80"/>
      <c r="J1583" s="77"/>
      <c r="K1583" s="81" t="b">
        <v>0</v>
      </c>
      <c r="L1583" s="78"/>
      <c r="M1583" s="82"/>
      <c r="N1583" s="78"/>
      <c r="O1583" s="78"/>
      <c r="P1583" s="78"/>
      <c r="Q1583" s="78"/>
      <c r="R1583" s="78"/>
      <c r="S1583" s="78"/>
      <c r="T1583" s="83"/>
    </row>
    <row r="1584" spans="1:20" ht="15" customHeight="1" x14ac:dyDescent="0.3">
      <c r="A1584" s="73"/>
      <c r="B1584" s="74"/>
      <c r="C1584" s="75"/>
      <c r="D1584" s="76"/>
      <c r="E1584" s="77"/>
      <c r="F1584" s="78"/>
      <c r="G1584" s="78"/>
      <c r="H1584" s="79"/>
      <c r="I1584" s="80"/>
      <c r="J1584" s="77"/>
      <c r="K1584" s="81" t="b">
        <v>0</v>
      </c>
      <c r="L1584" s="78"/>
      <c r="M1584" s="82"/>
      <c r="N1584" s="78"/>
      <c r="O1584" s="78"/>
      <c r="P1584" s="78"/>
      <c r="Q1584" s="78"/>
      <c r="R1584" s="78"/>
      <c r="S1584" s="78"/>
      <c r="T1584" s="83"/>
    </row>
    <row r="1585" spans="1:20" ht="15" customHeight="1" x14ac:dyDescent="0.3">
      <c r="A1585" s="73"/>
      <c r="B1585" s="74"/>
      <c r="C1585" s="75"/>
      <c r="D1585" s="76"/>
      <c r="E1585" s="77"/>
      <c r="F1585" s="78"/>
      <c r="G1585" s="78"/>
      <c r="H1585" s="79"/>
      <c r="I1585" s="80"/>
      <c r="J1585" s="77"/>
      <c r="K1585" s="81" t="b">
        <v>0</v>
      </c>
      <c r="L1585" s="78"/>
      <c r="M1585" s="82"/>
      <c r="N1585" s="78"/>
      <c r="O1585" s="78"/>
      <c r="P1585" s="78"/>
      <c r="Q1585" s="78"/>
      <c r="R1585" s="78"/>
      <c r="S1585" s="78"/>
      <c r="T1585" s="83"/>
    </row>
    <row r="1586" spans="1:20" ht="15" customHeight="1" x14ac:dyDescent="0.3">
      <c r="A1586" s="73"/>
      <c r="B1586" s="74"/>
      <c r="C1586" s="75"/>
      <c r="D1586" s="76"/>
      <c r="E1586" s="77"/>
      <c r="F1586" s="78"/>
      <c r="G1586" s="78"/>
      <c r="H1586" s="79"/>
      <c r="I1586" s="80"/>
      <c r="J1586" s="77"/>
      <c r="K1586" s="81" t="b">
        <v>0</v>
      </c>
      <c r="L1586" s="78"/>
      <c r="M1586" s="82"/>
      <c r="N1586" s="78"/>
      <c r="O1586" s="78"/>
      <c r="P1586" s="78"/>
      <c r="Q1586" s="78"/>
      <c r="R1586" s="78"/>
      <c r="S1586" s="78"/>
      <c r="T1586" s="83"/>
    </row>
    <row r="1587" spans="1:20" ht="15" customHeight="1" x14ac:dyDescent="0.3">
      <c r="A1587" s="73"/>
      <c r="B1587" s="74"/>
      <c r="C1587" s="75"/>
      <c r="D1587" s="76"/>
      <c r="E1587" s="77"/>
      <c r="F1587" s="78"/>
      <c r="G1587" s="78"/>
      <c r="H1587" s="79"/>
      <c r="I1587" s="80"/>
      <c r="J1587" s="77"/>
      <c r="K1587" s="81" t="b">
        <v>0</v>
      </c>
      <c r="L1587" s="78"/>
      <c r="M1587" s="82"/>
      <c r="N1587" s="78"/>
      <c r="O1587" s="78"/>
      <c r="P1587" s="78"/>
      <c r="Q1587" s="78"/>
      <c r="R1587" s="78"/>
      <c r="S1587" s="78"/>
      <c r="T1587" s="83"/>
    </row>
    <row r="1588" spans="1:20" ht="15" customHeight="1" x14ac:dyDescent="0.3">
      <c r="A1588" s="73"/>
      <c r="B1588" s="74"/>
      <c r="C1588" s="75"/>
      <c r="D1588" s="76"/>
      <c r="E1588" s="77"/>
      <c r="F1588" s="78"/>
      <c r="G1588" s="78"/>
      <c r="H1588" s="79"/>
      <c r="I1588" s="80"/>
      <c r="J1588" s="77"/>
      <c r="K1588" s="81" t="b">
        <v>0</v>
      </c>
      <c r="L1588" s="78"/>
      <c r="M1588" s="82"/>
      <c r="N1588" s="78"/>
      <c r="O1588" s="78"/>
      <c r="P1588" s="78"/>
      <c r="Q1588" s="78"/>
      <c r="R1588" s="78"/>
      <c r="S1588" s="78"/>
      <c r="T1588" s="83"/>
    </row>
    <row r="1589" spans="1:20" ht="15" customHeight="1" x14ac:dyDescent="0.3">
      <c r="A1589" s="73"/>
      <c r="B1589" s="74"/>
      <c r="C1589" s="75"/>
      <c r="D1589" s="76"/>
      <c r="E1589" s="77"/>
      <c r="F1589" s="78"/>
      <c r="G1589" s="78"/>
      <c r="H1589" s="79"/>
      <c r="I1589" s="80"/>
      <c r="J1589" s="77"/>
      <c r="K1589" s="81" t="b">
        <v>0</v>
      </c>
      <c r="L1589" s="78"/>
      <c r="M1589" s="82"/>
      <c r="N1589" s="78"/>
      <c r="O1589" s="78"/>
      <c r="P1589" s="78"/>
      <c r="Q1589" s="78"/>
      <c r="R1589" s="78"/>
      <c r="S1589" s="78"/>
      <c r="T1589" s="83"/>
    </row>
    <row r="1590" spans="1:20" ht="15" customHeight="1" x14ac:dyDescent="0.3">
      <c r="A1590" s="73"/>
      <c r="B1590" s="74"/>
      <c r="C1590" s="75"/>
      <c r="D1590" s="76"/>
      <c r="E1590" s="77"/>
      <c r="F1590" s="78"/>
      <c r="G1590" s="78"/>
      <c r="H1590" s="79"/>
      <c r="I1590" s="80"/>
      <c r="J1590" s="77"/>
      <c r="K1590" s="81" t="b">
        <v>0</v>
      </c>
      <c r="L1590" s="78"/>
      <c r="M1590" s="82"/>
      <c r="N1590" s="78"/>
      <c r="O1590" s="78"/>
      <c r="P1590" s="78"/>
      <c r="Q1590" s="78"/>
      <c r="R1590" s="78"/>
      <c r="S1590" s="78"/>
      <c r="T1590" s="83"/>
    </row>
    <row r="1591" spans="1:20" ht="15" customHeight="1" x14ac:dyDescent="0.3">
      <c r="A1591" s="73"/>
      <c r="B1591" s="74"/>
      <c r="C1591" s="75"/>
      <c r="D1591" s="76"/>
      <c r="E1591" s="77"/>
      <c r="F1591" s="78"/>
      <c r="G1591" s="78"/>
      <c r="H1591" s="79"/>
      <c r="I1591" s="80"/>
      <c r="J1591" s="77"/>
      <c r="K1591" s="81" t="b">
        <v>0</v>
      </c>
      <c r="L1591" s="78"/>
      <c r="M1591" s="82"/>
      <c r="N1591" s="78"/>
      <c r="O1591" s="78"/>
      <c r="P1591" s="78"/>
      <c r="Q1591" s="78"/>
      <c r="R1591" s="78"/>
      <c r="S1591" s="78"/>
      <c r="T1591" s="83"/>
    </row>
    <row r="1592" spans="1:20" ht="15" customHeight="1" x14ac:dyDescent="0.3">
      <c r="A1592" s="73"/>
      <c r="B1592" s="74"/>
      <c r="C1592" s="75"/>
      <c r="D1592" s="76"/>
      <c r="E1592" s="77"/>
      <c r="F1592" s="78"/>
      <c r="G1592" s="78"/>
      <c r="H1592" s="79"/>
      <c r="I1592" s="80"/>
      <c r="J1592" s="77"/>
      <c r="K1592" s="81" t="b">
        <v>0</v>
      </c>
      <c r="L1592" s="78"/>
      <c r="M1592" s="82"/>
      <c r="N1592" s="78"/>
      <c r="O1592" s="78"/>
      <c r="P1592" s="78"/>
      <c r="Q1592" s="78"/>
      <c r="R1592" s="78"/>
      <c r="S1592" s="78"/>
      <c r="T1592" s="83"/>
    </row>
    <row r="1593" spans="1:20" ht="15" customHeight="1" x14ac:dyDescent="0.3">
      <c r="A1593" s="73"/>
      <c r="B1593" s="74"/>
      <c r="C1593" s="75"/>
      <c r="D1593" s="76"/>
      <c r="E1593" s="77"/>
      <c r="F1593" s="78"/>
      <c r="G1593" s="78"/>
      <c r="H1593" s="79"/>
      <c r="I1593" s="80"/>
      <c r="J1593" s="77"/>
      <c r="K1593" s="81" t="b">
        <v>0</v>
      </c>
      <c r="L1593" s="78"/>
      <c r="M1593" s="82"/>
      <c r="N1593" s="78"/>
      <c r="O1593" s="78"/>
      <c r="P1593" s="78"/>
      <c r="Q1593" s="78"/>
      <c r="R1593" s="78"/>
      <c r="S1593" s="78"/>
      <c r="T1593" s="83"/>
    </row>
    <row r="1594" spans="1:20" ht="15" customHeight="1" x14ac:dyDescent="0.3">
      <c r="A1594" s="73"/>
      <c r="B1594" s="74"/>
      <c r="C1594" s="75"/>
      <c r="D1594" s="76"/>
      <c r="E1594" s="77"/>
      <c r="F1594" s="78"/>
      <c r="G1594" s="78"/>
      <c r="H1594" s="79"/>
      <c r="I1594" s="80"/>
      <c r="J1594" s="77"/>
      <c r="K1594" s="81" t="b">
        <v>0</v>
      </c>
      <c r="L1594" s="78"/>
      <c r="M1594" s="82"/>
      <c r="N1594" s="78"/>
      <c r="O1594" s="78"/>
      <c r="P1594" s="78"/>
      <c r="Q1594" s="78"/>
      <c r="R1594" s="78"/>
      <c r="S1594" s="78"/>
      <c r="T1594" s="83"/>
    </row>
    <row r="1595" spans="1:20" ht="15" customHeight="1" x14ac:dyDescent="0.3">
      <c r="A1595" s="73"/>
      <c r="B1595" s="74"/>
      <c r="C1595" s="75"/>
      <c r="D1595" s="76"/>
      <c r="E1595" s="77"/>
      <c r="F1595" s="78"/>
      <c r="G1595" s="78"/>
      <c r="H1595" s="79"/>
      <c r="I1595" s="80"/>
      <c r="J1595" s="77"/>
      <c r="K1595" s="81" t="b">
        <v>0</v>
      </c>
      <c r="L1595" s="78"/>
      <c r="M1595" s="82"/>
      <c r="N1595" s="78"/>
      <c r="O1595" s="78"/>
      <c r="P1595" s="78"/>
      <c r="Q1595" s="78"/>
      <c r="R1595" s="78"/>
      <c r="S1595" s="78"/>
      <c r="T1595" s="83"/>
    </row>
    <row r="1596" spans="1:20" ht="15" customHeight="1" x14ac:dyDescent="0.3">
      <c r="A1596" s="73"/>
      <c r="B1596" s="74"/>
      <c r="C1596" s="75"/>
      <c r="D1596" s="76"/>
      <c r="E1596" s="77"/>
      <c r="F1596" s="78"/>
      <c r="G1596" s="78"/>
      <c r="H1596" s="79"/>
      <c r="I1596" s="80"/>
      <c r="J1596" s="77"/>
      <c r="K1596" s="81" t="b">
        <v>0</v>
      </c>
      <c r="L1596" s="78"/>
      <c r="M1596" s="82"/>
      <c r="N1596" s="78"/>
      <c r="O1596" s="78"/>
      <c r="P1596" s="78"/>
      <c r="Q1596" s="78"/>
      <c r="R1596" s="78"/>
      <c r="S1596" s="78"/>
      <c r="T1596" s="83"/>
    </row>
    <row r="1597" spans="1:20" ht="15" customHeight="1" x14ac:dyDescent="0.3">
      <c r="A1597" s="73"/>
      <c r="B1597" s="74"/>
      <c r="C1597" s="75"/>
      <c r="D1597" s="76"/>
      <c r="E1597" s="77"/>
      <c r="F1597" s="78"/>
      <c r="G1597" s="78"/>
      <c r="H1597" s="79"/>
      <c r="I1597" s="80"/>
      <c r="J1597" s="77"/>
      <c r="K1597" s="81" t="b">
        <v>0</v>
      </c>
      <c r="L1597" s="78"/>
      <c r="M1597" s="82"/>
      <c r="N1597" s="78"/>
      <c r="O1597" s="78"/>
      <c r="P1597" s="78"/>
      <c r="Q1597" s="78"/>
      <c r="R1597" s="78"/>
      <c r="S1597" s="78"/>
      <c r="T1597" s="83"/>
    </row>
    <row r="1598" spans="1:20" ht="15" customHeight="1" x14ac:dyDescent="0.3">
      <c r="A1598" s="73"/>
      <c r="B1598" s="74"/>
      <c r="C1598" s="75"/>
      <c r="D1598" s="76"/>
      <c r="E1598" s="77"/>
      <c r="F1598" s="78"/>
      <c r="G1598" s="78"/>
      <c r="H1598" s="79"/>
      <c r="I1598" s="80"/>
      <c r="J1598" s="77"/>
      <c r="K1598" s="81" t="b">
        <v>0</v>
      </c>
      <c r="L1598" s="78"/>
      <c r="M1598" s="82"/>
      <c r="N1598" s="78"/>
      <c r="O1598" s="78"/>
      <c r="P1598" s="78"/>
      <c r="Q1598" s="78"/>
      <c r="R1598" s="78"/>
      <c r="S1598" s="78"/>
      <c r="T1598" s="83"/>
    </row>
    <row r="1599" spans="1:20" ht="15" customHeight="1" x14ac:dyDescent="0.3">
      <c r="A1599" s="73"/>
      <c r="B1599" s="74"/>
      <c r="C1599" s="75"/>
      <c r="D1599" s="76"/>
      <c r="E1599" s="77"/>
      <c r="F1599" s="78"/>
      <c r="G1599" s="78"/>
      <c r="H1599" s="79"/>
      <c r="I1599" s="80"/>
      <c r="J1599" s="77"/>
      <c r="K1599" s="81" t="b">
        <v>0</v>
      </c>
      <c r="L1599" s="78"/>
      <c r="M1599" s="82"/>
      <c r="N1599" s="78"/>
      <c r="O1599" s="78"/>
      <c r="P1599" s="78"/>
      <c r="Q1599" s="78"/>
      <c r="R1599" s="78"/>
      <c r="S1599" s="78"/>
      <c r="T1599" s="83"/>
    </row>
    <row r="1600" spans="1:20" ht="15" customHeight="1" x14ac:dyDescent="0.3">
      <c r="A1600" s="73"/>
      <c r="B1600" s="74"/>
      <c r="C1600" s="75"/>
      <c r="D1600" s="76"/>
      <c r="E1600" s="77"/>
      <c r="F1600" s="78"/>
      <c r="G1600" s="78"/>
      <c r="H1600" s="79"/>
      <c r="I1600" s="80"/>
      <c r="J1600" s="77"/>
      <c r="K1600" s="81" t="b">
        <v>0</v>
      </c>
      <c r="L1600" s="78"/>
      <c r="M1600" s="82"/>
      <c r="N1600" s="78"/>
      <c r="O1600" s="78"/>
      <c r="P1600" s="78"/>
      <c r="Q1600" s="78"/>
      <c r="R1600" s="78"/>
      <c r="S1600" s="78"/>
      <c r="T1600" s="83"/>
    </row>
    <row r="1601" spans="1:20" ht="15" customHeight="1" x14ac:dyDescent="0.3">
      <c r="A1601" s="73"/>
      <c r="B1601" s="74"/>
      <c r="C1601" s="75"/>
      <c r="D1601" s="76"/>
      <c r="E1601" s="77"/>
      <c r="F1601" s="78"/>
      <c r="G1601" s="78"/>
      <c r="H1601" s="79"/>
      <c r="I1601" s="80"/>
      <c r="J1601" s="77"/>
      <c r="K1601" s="81" t="b">
        <v>0</v>
      </c>
      <c r="L1601" s="78"/>
      <c r="M1601" s="82"/>
      <c r="N1601" s="78"/>
      <c r="O1601" s="78"/>
      <c r="P1601" s="78"/>
      <c r="Q1601" s="78"/>
      <c r="R1601" s="78"/>
      <c r="S1601" s="78"/>
      <c r="T1601" s="83"/>
    </row>
    <row r="1602" spans="1:20" ht="15" customHeight="1" x14ac:dyDescent="0.3">
      <c r="A1602" s="73"/>
      <c r="B1602" s="74"/>
      <c r="C1602" s="75"/>
      <c r="D1602" s="76"/>
      <c r="E1602" s="77"/>
      <c r="F1602" s="78"/>
      <c r="G1602" s="78"/>
      <c r="H1602" s="79"/>
      <c r="I1602" s="80"/>
      <c r="J1602" s="77"/>
      <c r="K1602" s="81" t="b">
        <v>0</v>
      </c>
      <c r="L1602" s="78"/>
      <c r="M1602" s="82"/>
      <c r="N1602" s="78"/>
      <c r="O1602" s="78"/>
      <c r="P1602" s="78"/>
      <c r="Q1602" s="78"/>
      <c r="R1602" s="78"/>
      <c r="S1602" s="78"/>
      <c r="T1602" s="83"/>
    </row>
    <row r="1603" spans="1:20" ht="15" customHeight="1" x14ac:dyDescent="0.3">
      <c r="A1603" s="73"/>
      <c r="B1603" s="74"/>
      <c r="C1603" s="75"/>
      <c r="D1603" s="76"/>
      <c r="E1603" s="77"/>
      <c r="F1603" s="78"/>
      <c r="G1603" s="78"/>
      <c r="H1603" s="79"/>
      <c r="I1603" s="80"/>
      <c r="J1603" s="77"/>
      <c r="K1603" s="81" t="b">
        <v>0</v>
      </c>
      <c r="L1603" s="78"/>
      <c r="M1603" s="82"/>
      <c r="N1603" s="78"/>
      <c r="O1603" s="78"/>
      <c r="P1603" s="78"/>
      <c r="Q1603" s="78"/>
      <c r="R1603" s="78"/>
      <c r="S1603" s="78"/>
      <c r="T1603" s="83"/>
    </row>
    <row r="1604" spans="1:20" ht="15" customHeight="1" x14ac:dyDescent="0.3">
      <c r="A1604" s="73"/>
      <c r="B1604" s="74"/>
      <c r="C1604" s="75"/>
      <c r="D1604" s="76"/>
      <c r="E1604" s="77"/>
      <c r="F1604" s="78"/>
      <c r="G1604" s="78"/>
      <c r="H1604" s="79"/>
      <c r="I1604" s="80"/>
      <c r="J1604" s="77"/>
      <c r="K1604" s="81" t="b">
        <v>0</v>
      </c>
      <c r="L1604" s="78"/>
      <c r="M1604" s="82"/>
      <c r="N1604" s="78"/>
      <c r="O1604" s="78"/>
      <c r="P1604" s="78"/>
      <c r="Q1604" s="78"/>
      <c r="R1604" s="78"/>
      <c r="S1604" s="78"/>
      <c r="T1604" s="83"/>
    </row>
    <row r="1605" spans="1:20" ht="15" customHeight="1" x14ac:dyDescent="0.3">
      <c r="A1605" s="73"/>
      <c r="B1605" s="74"/>
      <c r="C1605" s="75"/>
      <c r="D1605" s="76"/>
      <c r="E1605" s="77"/>
      <c r="F1605" s="78"/>
      <c r="G1605" s="78"/>
      <c r="H1605" s="79"/>
      <c r="I1605" s="80"/>
      <c r="J1605" s="77"/>
      <c r="K1605" s="81" t="b">
        <v>0</v>
      </c>
      <c r="L1605" s="78"/>
      <c r="M1605" s="82"/>
      <c r="N1605" s="78"/>
      <c r="O1605" s="78"/>
      <c r="P1605" s="78"/>
      <c r="Q1605" s="78"/>
      <c r="R1605" s="78"/>
      <c r="S1605" s="78"/>
      <c r="T1605" s="83"/>
    </row>
    <row r="1606" spans="1:20" ht="15" customHeight="1" x14ac:dyDescent="0.3">
      <c r="A1606" s="73"/>
      <c r="B1606" s="74"/>
      <c r="C1606" s="75"/>
      <c r="D1606" s="76"/>
      <c r="E1606" s="77"/>
      <c r="F1606" s="78"/>
      <c r="G1606" s="78"/>
      <c r="H1606" s="79"/>
      <c r="I1606" s="80"/>
      <c r="J1606" s="77"/>
      <c r="K1606" s="81" t="b">
        <v>0</v>
      </c>
      <c r="L1606" s="78"/>
      <c r="M1606" s="82"/>
      <c r="N1606" s="78"/>
      <c r="O1606" s="78"/>
      <c r="P1606" s="78"/>
      <c r="Q1606" s="78"/>
      <c r="R1606" s="78"/>
      <c r="S1606" s="78"/>
      <c r="T1606" s="83"/>
    </row>
    <row r="1607" spans="1:20" ht="15" customHeight="1" x14ac:dyDescent="0.3">
      <c r="A1607" s="73"/>
      <c r="B1607" s="74"/>
      <c r="C1607" s="75"/>
      <c r="D1607" s="76"/>
      <c r="E1607" s="77"/>
      <c r="F1607" s="78"/>
      <c r="G1607" s="78"/>
      <c r="H1607" s="79"/>
      <c r="I1607" s="80"/>
      <c r="J1607" s="77"/>
      <c r="K1607" s="81" t="b">
        <v>0</v>
      </c>
      <c r="L1607" s="78"/>
      <c r="M1607" s="82"/>
      <c r="N1607" s="78"/>
      <c r="O1607" s="78"/>
      <c r="P1607" s="78"/>
      <c r="Q1607" s="78"/>
      <c r="R1607" s="78"/>
      <c r="S1607" s="78"/>
      <c r="T1607" s="83"/>
    </row>
    <row r="1608" spans="1:20" ht="15" customHeight="1" x14ac:dyDescent="0.3">
      <c r="A1608" s="73"/>
      <c r="B1608" s="74"/>
      <c r="C1608" s="75"/>
      <c r="D1608" s="76"/>
      <c r="E1608" s="77"/>
      <c r="F1608" s="78"/>
      <c r="G1608" s="78"/>
      <c r="H1608" s="79"/>
      <c r="I1608" s="80"/>
      <c r="J1608" s="77"/>
      <c r="K1608" s="81" t="b">
        <v>0</v>
      </c>
      <c r="L1608" s="78"/>
      <c r="M1608" s="82"/>
      <c r="N1608" s="78"/>
      <c r="O1608" s="78"/>
      <c r="P1608" s="78"/>
      <c r="Q1608" s="78"/>
      <c r="R1608" s="78"/>
      <c r="S1608" s="78"/>
      <c r="T1608" s="83"/>
    </row>
    <row r="1609" spans="1:20" ht="15" customHeight="1" x14ac:dyDescent="0.3">
      <c r="A1609" s="73"/>
      <c r="B1609" s="74"/>
      <c r="C1609" s="75"/>
      <c r="D1609" s="76"/>
      <c r="E1609" s="77"/>
      <c r="F1609" s="78"/>
      <c r="G1609" s="78"/>
      <c r="H1609" s="79"/>
      <c r="I1609" s="80"/>
      <c r="J1609" s="77"/>
      <c r="K1609" s="81" t="b">
        <v>0</v>
      </c>
      <c r="L1609" s="78"/>
      <c r="M1609" s="82"/>
      <c r="N1609" s="78"/>
      <c r="O1609" s="78"/>
      <c r="P1609" s="78"/>
      <c r="Q1609" s="78"/>
      <c r="R1609" s="78"/>
      <c r="S1609" s="78"/>
      <c r="T1609" s="83"/>
    </row>
    <row r="1610" spans="1:20" ht="15" customHeight="1" x14ac:dyDescent="0.3">
      <c r="A1610" s="73"/>
      <c r="B1610" s="74"/>
      <c r="C1610" s="75"/>
      <c r="D1610" s="76"/>
      <c r="E1610" s="77"/>
      <c r="F1610" s="78"/>
      <c r="G1610" s="78"/>
      <c r="H1610" s="79"/>
      <c r="I1610" s="80"/>
      <c r="J1610" s="77"/>
      <c r="K1610" s="81" t="b">
        <v>0</v>
      </c>
      <c r="L1610" s="78"/>
      <c r="M1610" s="82"/>
      <c r="N1610" s="78"/>
      <c r="O1610" s="78"/>
      <c r="P1610" s="78"/>
      <c r="Q1610" s="78"/>
      <c r="R1610" s="78"/>
      <c r="S1610" s="78"/>
      <c r="T1610" s="83"/>
    </row>
    <row r="1611" spans="1:20" ht="15" customHeight="1" x14ac:dyDescent="0.3">
      <c r="A1611" s="73"/>
      <c r="B1611" s="74"/>
      <c r="C1611" s="75"/>
      <c r="D1611" s="76"/>
      <c r="E1611" s="77"/>
      <c r="F1611" s="78"/>
      <c r="G1611" s="78"/>
      <c r="H1611" s="79"/>
      <c r="I1611" s="80"/>
      <c r="J1611" s="77"/>
      <c r="K1611" s="81" t="b">
        <v>0</v>
      </c>
      <c r="L1611" s="78"/>
      <c r="M1611" s="82"/>
      <c r="N1611" s="78"/>
      <c r="O1611" s="78"/>
      <c r="P1611" s="78"/>
      <c r="Q1611" s="78"/>
      <c r="R1611" s="78"/>
      <c r="S1611" s="78"/>
      <c r="T1611" s="83"/>
    </row>
    <row r="1612" spans="1:20" ht="15" customHeight="1" x14ac:dyDescent="0.3">
      <c r="A1612" s="73"/>
      <c r="B1612" s="74"/>
      <c r="C1612" s="75"/>
      <c r="D1612" s="76"/>
      <c r="E1612" s="77"/>
      <c r="F1612" s="78"/>
      <c r="G1612" s="78"/>
      <c r="H1612" s="79"/>
      <c r="I1612" s="80"/>
      <c r="J1612" s="77"/>
      <c r="K1612" s="81" t="b">
        <v>0</v>
      </c>
      <c r="L1612" s="78"/>
      <c r="M1612" s="82"/>
      <c r="N1612" s="78"/>
      <c r="O1612" s="78"/>
      <c r="P1612" s="78"/>
      <c r="Q1612" s="78"/>
      <c r="R1612" s="78"/>
      <c r="S1612" s="78"/>
      <c r="T1612" s="83"/>
    </row>
    <row r="1613" spans="1:20" ht="15" customHeight="1" x14ac:dyDescent="0.3">
      <c r="A1613" s="73"/>
      <c r="B1613" s="74"/>
      <c r="C1613" s="75"/>
      <c r="D1613" s="76"/>
      <c r="E1613" s="77"/>
      <c r="F1613" s="78"/>
      <c r="G1613" s="78"/>
      <c r="H1613" s="79"/>
      <c r="I1613" s="80"/>
      <c r="J1613" s="77"/>
      <c r="K1613" s="81" t="b">
        <v>0</v>
      </c>
      <c r="L1613" s="78"/>
      <c r="M1613" s="82"/>
      <c r="N1613" s="78"/>
      <c r="O1613" s="78"/>
      <c r="P1613" s="78"/>
      <c r="Q1613" s="78"/>
      <c r="R1613" s="78"/>
      <c r="S1613" s="78"/>
      <c r="T1613" s="83"/>
    </row>
    <row r="1614" spans="1:20" ht="15" customHeight="1" x14ac:dyDescent="0.3">
      <c r="A1614" s="73"/>
      <c r="B1614" s="74"/>
      <c r="C1614" s="75"/>
      <c r="D1614" s="76"/>
      <c r="E1614" s="77"/>
      <c r="F1614" s="78"/>
      <c r="G1614" s="78"/>
      <c r="H1614" s="79"/>
      <c r="I1614" s="80"/>
      <c r="J1614" s="77"/>
      <c r="K1614" s="81" t="b">
        <v>0</v>
      </c>
      <c r="L1614" s="78"/>
      <c r="M1614" s="82"/>
      <c r="N1614" s="78"/>
      <c r="O1614" s="78"/>
      <c r="P1614" s="78"/>
      <c r="Q1614" s="78"/>
      <c r="R1614" s="78"/>
      <c r="S1614" s="78"/>
      <c r="T1614" s="83"/>
    </row>
    <row r="1615" spans="1:20" ht="15" customHeight="1" x14ac:dyDescent="0.3">
      <c r="A1615" s="73"/>
      <c r="B1615" s="74"/>
      <c r="C1615" s="75"/>
      <c r="D1615" s="76"/>
      <c r="E1615" s="77"/>
      <c r="F1615" s="78"/>
      <c r="G1615" s="78"/>
      <c r="H1615" s="79"/>
      <c r="I1615" s="80"/>
      <c r="J1615" s="77"/>
      <c r="K1615" s="81" t="b">
        <v>0</v>
      </c>
      <c r="L1615" s="78"/>
      <c r="M1615" s="82"/>
      <c r="N1615" s="78"/>
      <c r="O1615" s="78"/>
      <c r="P1615" s="78"/>
      <c r="Q1615" s="78"/>
      <c r="R1615" s="78"/>
      <c r="S1615" s="78"/>
      <c r="T1615" s="83"/>
    </row>
    <row r="1616" spans="1:20" ht="15" customHeight="1" x14ac:dyDescent="0.3">
      <c r="A1616" s="73"/>
      <c r="B1616" s="74"/>
      <c r="C1616" s="75"/>
      <c r="D1616" s="76"/>
      <c r="E1616" s="77"/>
      <c r="F1616" s="78"/>
      <c r="G1616" s="78"/>
      <c r="H1616" s="79"/>
      <c r="I1616" s="80"/>
      <c r="J1616" s="77"/>
      <c r="K1616" s="81" t="b">
        <v>0</v>
      </c>
      <c r="L1616" s="78"/>
      <c r="M1616" s="82"/>
      <c r="N1616" s="78"/>
      <c r="O1616" s="78"/>
      <c r="P1616" s="78"/>
      <c r="Q1616" s="78"/>
      <c r="R1616" s="78"/>
      <c r="S1616" s="78"/>
      <c r="T1616" s="83"/>
    </row>
    <row r="1617" spans="1:20" ht="15" customHeight="1" x14ac:dyDescent="0.3">
      <c r="A1617" s="73"/>
      <c r="B1617" s="74"/>
      <c r="C1617" s="75"/>
      <c r="D1617" s="76"/>
      <c r="E1617" s="77"/>
      <c r="F1617" s="78"/>
      <c r="G1617" s="78"/>
      <c r="H1617" s="79"/>
      <c r="I1617" s="80"/>
      <c r="J1617" s="77"/>
      <c r="K1617" s="81" t="b">
        <v>0</v>
      </c>
      <c r="L1617" s="78"/>
      <c r="M1617" s="82"/>
      <c r="N1617" s="78"/>
      <c r="O1617" s="78"/>
      <c r="P1617" s="78"/>
      <c r="Q1617" s="78"/>
      <c r="R1617" s="78"/>
      <c r="S1617" s="78"/>
      <c r="T1617" s="83"/>
    </row>
    <row r="1618" spans="1:20" ht="15" customHeight="1" x14ac:dyDescent="0.3">
      <c r="A1618" s="73"/>
      <c r="B1618" s="74"/>
      <c r="C1618" s="75"/>
      <c r="D1618" s="76"/>
      <c r="E1618" s="77"/>
      <c r="F1618" s="78"/>
      <c r="G1618" s="78"/>
      <c r="H1618" s="79"/>
      <c r="I1618" s="80"/>
      <c r="J1618" s="77"/>
      <c r="K1618" s="81" t="b">
        <v>0</v>
      </c>
      <c r="L1618" s="78"/>
      <c r="M1618" s="82"/>
      <c r="N1618" s="78"/>
      <c r="O1618" s="78"/>
      <c r="P1618" s="78"/>
      <c r="Q1618" s="78"/>
      <c r="R1618" s="78"/>
      <c r="S1618" s="78"/>
      <c r="T1618" s="83"/>
    </row>
    <row r="1619" spans="1:20" ht="15" customHeight="1" x14ac:dyDescent="0.3">
      <c r="A1619" s="73"/>
      <c r="B1619" s="74"/>
      <c r="C1619" s="75"/>
      <c r="D1619" s="76"/>
      <c r="E1619" s="77"/>
      <c r="F1619" s="78"/>
      <c r="G1619" s="78"/>
      <c r="H1619" s="79"/>
      <c r="I1619" s="80"/>
      <c r="J1619" s="77"/>
      <c r="K1619" s="81" t="b">
        <v>0</v>
      </c>
      <c r="L1619" s="78"/>
      <c r="M1619" s="82"/>
      <c r="N1619" s="78"/>
      <c r="O1619" s="78"/>
      <c r="P1619" s="78"/>
      <c r="Q1619" s="78"/>
      <c r="R1619" s="78"/>
      <c r="S1619" s="78"/>
      <c r="T1619" s="83"/>
    </row>
    <row r="1620" spans="1:20" ht="15" customHeight="1" x14ac:dyDescent="0.3">
      <c r="A1620" s="73"/>
      <c r="B1620" s="74"/>
      <c r="C1620" s="75"/>
      <c r="D1620" s="76"/>
      <c r="E1620" s="77"/>
      <c r="F1620" s="78"/>
      <c r="G1620" s="78"/>
      <c r="H1620" s="79"/>
      <c r="I1620" s="80"/>
      <c r="J1620" s="77"/>
      <c r="K1620" s="81" t="b">
        <v>0</v>
      </c>
      <c r="L1620" s="78"/>
      <c r="M1620" s="82"/>
      <c r="N1620" s="78"/>
      <c r="O1620" s="78"/>
      <c r="P1620" s="78"/>
      <c r="Q1620" s="78"/>
      <c r="R1620" s="78"/>
      <c r="S1620" s="78"/>
      <c r="T1620" s="83"/>
    </row>
    <row r="1621" spans="1:20" ht="15" customHeight="1" x14ac:dyDescent="0.3">
      <c r="A1621" s="73"/>
      <c r="B1621" s="74"/>
      <c r="C1621" s="75"/>
      <c r="D1621" s="76"/>
      <c r="E1621" s="77"/>
      <c r="F1621" s="78"/>
      <c r="G1621" s="78"/>
      <c r="H1621" s="79"/>
      <c r="I1621" s="80"/>
      <c r="J1621" s="77"/>
      <c r="K1621" s="81" t="b">
        <v>0</v>
      </c>
      <c r="L1621" s="78"/>
      <c r="M1621" s="82"/>
      <c r="N1621" s="78"/>
      <c r="O1621" s="78"/>
      <c r="P1621" s="78"/>
      <c r="Q1621" s="78"/>
      <c r="R1621" s="78"/>
      <c r="S1621" s="78"/>
      <c r="T1621" s="83"/>
    </row>
    <row r="1622" spans="1:20" ht="15" customHeight="1" x14ac:dyDescent="0.3">
      <c r="A1622" s="73"/>
      <c r="B1622" s="74"/>
      <c r="C1622" s="75"/>
      <c r="D1622" s="76"/>
      <c r="E1622" s="77"/>
      <c r="F1622" s="78"/>
      <c r="G1622" s="78"/>
      <c r="H1622" s="79"/>
      <c r="I1622" s="80"/>
      <c r="J1622" s="77"/>
      <c r="K1622" s="81" t="b">
        <v>0</v>
      </c>
      <c r="L1622" s="78"/>
      <c r="M1622" s="82"/>
      <c r="N1622" s="78"/>
      <c r="O1622" s="78"/>
      <c r="P1622" s="78"/>
      <c r="Q1622" s="78"/>
      <c r="R1622" s="78"/>
      <c r="S1622" s="78"/>
      <c r="T1622" s="83"/>
    </row>
    <row r="1623" spans="1:20" ht="15" customHeight="1" x14ac:dyDescent="0.3">
      <c r="A1623" s="73"/>
      <c r="B1623" s="74"/>
      <c r="C1623" s="75"/>
      <c r="D1623" s="76"/>
      <c r="E1623" s="77"/>
      <c r="F1623" s="78"/>
      <c r="G1623" s="78"/>
      <c r="H1623" s="79"/>
      <c r="I1623" s="80"/>
      <c r="J1623" s="77"/>
      <c r="K1623" s="81" t="b">
        <v>0</v>
      </c>
      <c r="L1623" s="78"/>
      <c r="M1623" s="82"/>
      <c r="N1623" s="78"/>
      <c r="O1623" s="78"/>
      <c r="P1623" s="78"/>
      <c r="Q1623" s="78"/>
      <c r="R1623" s="78"/>
      <c r="S1623" s="78"/>
      <c r="T1623" s="83"/>
    </row>
    <row r="1624" spans="1:20" ht="15" customHeight="1" x14ac:dyDescent="0.3">
      <c r="A1624" s="73"/>
      <c r="B1624" s="74"/>
      <c r="C1624" s="75"/>
      <c r="D1624" s="76"/>
      <c r="E1624" s="77"/>
      <c r="F1624" s="78"/>
      <c r="G1624" s="78"/>
      <c r="H1624" s="79"/>
      <c r="I1624" s="80"/>
      <c r="J1624" s="77"/>
      <c r="K1624" s="81" t="b">
        <v>0</v>
      </c>
      <c r="L1624" s="78"/>
      <c r="M1624" s="82"/>
      <c r="N1624" s="78"/>
      <c r="O1624" s="78"/>
      <c r="P1624" s="78"/>
      <c r="Q1624" s="78"/>
      <c r="R1624" s="78"/>
      <c r="S1624" s="78"/>
      <c r="T1624" s="83"/>
    </row>
    <row r="1625" spans="1:20" ht="15" customHeight="1" x14ac:dyDescent="0.3">
      <c r="A1625" s="73"/>
      <c r="B1625" s="74"/>
      <c r="C1625" s="75"/>
      <c r="D1625" s="76"/>
      <c r="E1625" s="77"/>
      <c r="F1625" s="78"/>
      <c r="G1625" s="78"/>
      <c r="H1625" s="79"/>
      <c r="I1625" s="80"/>
      <c r="J1625" s="77"/>
      <c r="K1625" s="81" t="b">
        <v>0</v>
      </c>
      <c r="L1625" s="78"/>
      <c r="M1625" s="82"/>
      <c r="N1625" s="78"/>
      <c r="O1625" s="78"/>
      <c r="P1625" s="78"/>
      <c r="Q1625" s="78"/>
      <c r="R1625" s="78"/>
      <c r="S1625" s="78"/>
      <c r="T1625" s="83"/>
    </row>
    <row r="1626" spans="1:20" ht="15" customHeight="1" x14ac:dyDescent="0.3">
      <c r="A1626" s="73"/>
      <c r="B1626" s="74"/>
      <c r="C1626" s="75"/>
      <c r="D1626" s="76"/>
      <c r="E1626" s="77"/>
      <c r="F1626" s="78"/>
      <c r="G1626" s="78"/>
      <c r="H1626" s="79"/>
      <c r="I1626" s="80"/>
      <c r="J1626" s="77"/>
      <c r="K1626" s="81" t="b">
        <v>0</v>
      </c>
      <c r="L1626" s="78"/>
      <c r="M1626" s="82"/>
      <c r="N1626" s="78"/>
      <c r="O1626" s="78"/>
      <c r="P1626" s="78"/>
      <c r="Q1626" s="78"/>
      <c r="R1626" s="78"/>
      <c r="S1626" s="78"/>
      <c r="T1626" s="83"/>
    </row>
    <row r="1627" spans="1:20" ht="15" customHeight="1" x14ac:dyDescent="0.3">
      <c r="A1627" s="73"/>
      <c r="B1627" s="74"/>
      <c r="C1627" s="75"/>
      <c r="D1627" s="76"/>
      <c r="E1627" s="77"/>
      <c r="F1627" s="78"/>
      <c r="G1627" s="78"/>
      <c r="H1627" s="79"/>
      <c r="I1627" s="80"/>
      <c r="J1627" s="77"/>
      <c r="K1627" s="81" t="b">
        <v>0</v>
      </c>
      <c r="L1627" s="78"/>
      <c r="M1627" s="82"/>
      <c r="N1627" s="78"/>
      <c r="O1627" s="78"/>
      <c r="P1627" s="78"/>
      <c r="Q1627" s="78"/>
      <c r="R1627" s="78"/>
      <c r="S1627" s="78"/>
      <c r="T1627" s="83"/>
    </row>
    <row r="1628" spans="1:20" ht="15" customHeight="1" x14ac:dyDescent="0.3">
      <c r="A1628" s="73"/>
      <c r="B1628" s="74"/>
      <c r="C1628" s="75"/>
      <c r="D1628" s="76"/>
      <c r="E1628" s="77"/>
      <c r="F1628" s="78"/>
      <c r="G1628" s="78"/>
      <c r="H1628" s="79"/>
      <c r="I1628" s="80"/>
      <c r="J1628" s="77"/>
      <c r="K1628" s="81" t="b">
        <v>0</v>
      </c>
      <c r="L1628" s="78"/>
      <c r="M1628" s="82"/>
      <c r="N1628" s="78"/>
      <c r="O1628" s="78"/>
      <c r="P1628" s="78"/>
      <c r="Q1628" s="78"/>
      <c r="R1628" s="78"/>
      <c r="S1628" s="78"/>
      <c r="T1628" s="83"/>
    </row>
    <row r="1629" spans="1:20" ht="15" customHeight="1" x14ac:dyDescent="0.3">
      <c r="A1629" s="73"/>
      <c r="B1629" s="74"/>
      <c r="C1629" s="75"/>
      <c r="D1629" s="76"/>
      <c r="E1629" s="77"/>
      <c r="F1629" s="78"/>
      <c r="G1629" s="78"/>
      <c r="H1629" s="79"/>
      <c r="I1629" s="80"/>
      <c r="J1629" s="77"/>
      <c r="K1629" s="81" t="b">
        <v>0</v>
      </c>
      <c r="L1629" s="78"/>
      <c r="M1629" s="82"/>
      <c r="N1629" s="78"/>
      <c r="O1629" s="78"/>
      <c r="P1629" s="78"/>
      <c r="Q1629" s="78"/>
      <c r="R1629" s="78"/>
      <c r="S1629" s="78"/>
      <c r="T1629" s="83"/>
    </row>
    <row r="1630" spans="1:20" ht="15" customHeight="1" x14ac:dyDescent="0.3">
      <c r="A1630" s="73"/>
      <c r="B1630" s="74"/>
      <c r="C1630" s="75"/>
      <c r="D1630" s="76"/>
      <c r="E1630" s="77"/>
      <c r="F1630" s="78"/>
      <c r="G1630" s="78"/>
      <c r="H1630" s="79"/>
      <c r="I1630" s="80"/>
      <c r="J1630" s="77"/>
      <c r="K1630" s="81" t="b">
        <v>0</v>
      </c>
      <c r="L1630" s="78"/>
      <c r="M1630" s="82"/>
      <c r="N1630" s="78"/>
      <c r="O1630" s="78"/>
      <c r="P1630" s="78"/>
      <c r="Q1630" s="78"/>
      <c r="R1630" s="78"/>
      <c r="S1630" s="78"/>
      <c r="T1630" s="83"/>
    </row>
    <row r="1631" spans="1:20" ht="15" customHeight="1" x14ac:dyDescent="0.3">
      <c r="A1631" s="73"/>
      <c r="B1631" s="74"/>
      <c r="C1631" s="75"/>
      <c r="D1631" s="76"/>
      <c r="E1631" s="77"/>
      <c r="F1631" s="78"/>
      <c r="G1631" s="78"/>
      <c r="H1631" s="79"/>
      <c r="I1631" s="80"/>
      <c r="J1631" s="77"/>
      <c r="K1631" s="81" t="b">
        <v>0</v>
      </c>
      <c r="L1631" s="78"/>
      <c r="M1631" s="82"/>
      <c r="N1631" s="78"/>
      <c r="O1631" s="78"/>
      <c r="P1631" s="78"/>
      <c r="Q1631" s="78"/>
      <c r="R1631" s="78"/>
      <c r="S1631" s="78"/>
      <c r="T1631" s="83"/>
    </row>
    <row r="1632" spans="1:20" ht="15" customHeight="1" x14ac:dyDescent="0.3">
      <c r="A1632" s="73"/>
      <c r="B1632" s="74"/>
      <c r="C1632" s="75"/>
      <c r="D1632" s="76"/>
      <c r="E1632" s="77"/>
      <c r="F1632" s="78"/>
      <c r="G1632" s="78"/>
      <c r="H1632" s="79"/>
      <c r="I1632" s="80"/>
      <c r="J1632" s="77"/>
      <c r="K1632" s="81" t="b">
        <v>0</v>
      </c>
      <c r="L1632" s="78"/>
      <c r="M1632" s="82"/>
      <c r="N1632" s="78"/>
      <c r="O1632" s="78"/>
      <c r="P1632" s="78"/>
      <c r="Q1632" s="78"/>
      <c r="R1632" s="78"/>
      <c r="S1632" s="78"/>
      <c r="T1632" s="83"/>
    </row>
    <row r="1633" spans="1:20" ht="15" customHeight="1" x14ac:dyDescent="0.3">
      <c r="A1633" s="73"/>
      <c r="B1633" s="74"/>
      <c r="C1633" s="75"/>
      <c r="D1633" s="76"/>
      <c r="E1633" s="77"/>
      <c r="F1633" s="78"/>
      <c r="G1633" s="78"/>
      <c r="H1633" s="79"/>
      <c r="I1633" s="80"/>
      <c r="J1633" s="77"/>
      <c r="K1633" s="81" t="b">
        <v>0</v>
      </c>
      <c r="L1633" s="78"/>
      <c r="M1633" s="82"/>
      <c r="N1633" s="78"/>
      <c r="O1633" s="78"/>
      <c r="P1633" s="78"/>
      <c r="Q1633" s="78"/>
      <c r="R1633" s="78"/>
      <c r="S1633" s="78"/>
      <c r="T1633" s="83"/>
    </row>
    <row r="1634" spans="1:20" ht="15" customHeight="1" x14ac:dyDescent="0.3">
      <c r="A1634" s="73"/>
      <c r="B1634" s="74"/>
      <c r="C1634" s="75"/>
      <c r="D1634" s="76"/>
      <c r="E1634" s="77"/>
      <c r="F1634" s="78"/>
      <c r="G1634" s="78"/>
      <c r="H1634" s="79"/>
      <c r="I1634" s="80"/>
      <c r="J1634" s="77"/>
      <c r="K1634" s="81" t="b">
        <v>0</v>
      </c>
      <c r="L1634" s="78"/>
      <c r="M1634" s="82"/>
      <c r="N1634" s="78"/>
      <c r="O1634" s="78"/>
      <c r="P1634" s="78"/>
      <c r="Q1634" s="78"/>
      <c r="R1634" s="78"/>
      <c r="S1634" s="78"/>
      <c r="T1634" s="83"/>
    </row>
    <row r="1635" spans="1:20" ht="15" customHeight="1" x14ac:dyDescent="0.3">
      <c r="A1635" s="73"/>
      <c r="B1635" s="74"/>
      <c r="C1635" s="75"/>
      <c r="D1635" s="76"/>
      <c r="E1635" s="77"/>
      <c r="F1635" s="78"/>
      <c r="G1635" s="78"/>
      <c r="H1635" s="79"/>
      <c r="I1635" s="80"/>
      <c r="J1635" s="77"/>
      <c r="K1635" s="81" t="b">
        <v>0</v>
      </c>
      <c r="L1635" s="78"/>
      <c r="M1635" s="82"/>
      <c r="N1635" s="78"/>
      <c r="O1635" s="78"/>
      <c r="P1635" s="78"/>
      <c r="Q1635" s="78"/>
      <c r="R1635" s="78"/>
      <c r="S1635" s="78"/>
      <c r="T1635" s="83"/>
    </row>
    <row r="1636" spans="1:20" ht="15" customHeight="1" x14ac:dyDescent="0.3">
      <c r="A1636" s="73"/>
      <c r="B1636" s="74"/>
      <c r="C1636" s="75"/>
      <c r="D1636" s="76"/>
      <c r="E1636" s="77"/>
      <c r="F1636" s="78"/>
      <c r="G1636" s="78"/>
      <c r="H1636" s="79"/>
      <c r="I1636" s="80"/>
      <c r="J1636" s="77"/>
      <c r="K1636" s="81" t="b">
        <v>0</v>
      </c>
      <c r="L1636" s="78"/>
      <c r="M1636" s="82"/>
      <c r="N1636" s="78"/>
      <c r="O1636" s="78"/>
      <c r="P1636" s="78"/>
      <c r="Q1636" s="78"/>
      <c r="R1636" s="78"/>
      <c r="S1636" s="78"/>
      <c r="T1636" s="83"/>
    </row>
    <row r="1637" spans="1:20" ht="15" customHeight="1" x14ac:dyDescent="0.3">
      <c r="A1637" s="73"/>
      <c r="B1637" s="74"/>
      <c r="C1637" s="75"/>
      <c r="D1637" s="76"/>
      <c r="E1637" s="77"/>
      <c r="F1637" s="78"/>
      <c r="G1637" s="78"/>
      <c r="H1637" s="79"/>
      <c r="I1637" s="80"/>
      <c r="J1637" s="77"/>
      <c r="K1637" s="81" t="b">
        <v>0</v>
      </c>
      <c r="L1637" s="78"/>
      <c r="M1637" s="82"/>
      <c r="N1637" s="78"/>
      <c r="O1637" s="78"/>
      <c r="P1637" s="78"/>
      <c r="Q1637" s="78"/>
      <c r="R1637" s="78"/>
      <c r="S1637" s="78"/>
      <c r="T1637" s="83"/>
    </row>
    <row r="1638" spans="1:20" ht="15" customHeight="1" x14ac:dyDescent="0.3">
      <c r="A1638" s="73"/>
      <c r="B1638" s="74"/>
      <c r="C1638" s="75"/>
      <c r="D1638" s="76"/>
      <c r="E1638" s="77"/>
      <c r="F1638" s="78"/>
      <c r="G1638" s="78"/>
      <c r="H1638" s="79"/>
      <c r="I1638" s="80"/>
      <c r="J1638" s="77"/>
      <c r="K1638" s="81" t="b">
        <v>0</v>
      </c>
      <c r="L1638" s="78"/>
      <c r="M1638" s="82"/>
      <c r="N1638" s="78"/>
      <c r="O1638" s="78"/>
      <c r="P1638" s="78"/>
      <c r="Q1638" s="78"/>
      <c r="R1638" s="78"/>
      <c r="S1638" s="78"/>
      <c r="T1638" s="83"/>
    </row>
    <row r="1639" spans="1:20" ht="15" customHeight="1" x14ac:dyDescent="0.3">
      <c r="A1639" s="73"/>
      <c r="B1639" s="74"/>
      <c r="C1639" s="75"/>
      <c r="D1639" s="76"/>
      <c r="E1639" s="77"/>
      <c r="F1639" s="78"/>
      <c r="G1639" s="78"/>
      <c r="H1639" s="79"/>
      <c r="I1639" s="80"/>
      <c r="J1639" s="77"/>
      <c r="K1639" s="81" t="b">
        <v>0</v>
      </c>
      <c r="L1639" s="78"/>
      <c r="M1639" s="82"/>
      <c r="N1639" s="78"/>
      <c r="O1639" s="78"/>
      <c r="P1639" s="78"/>
      <c r="Q1639" s="78"/>
      <c r="R1639" s="78"/>
      <c r="S1639" s="78"/>
      <c r="T1639" s="83"/>
    </row>
    <row r="1640" spans="1:20" ht="15" customHeight="1" x14ac:dyDescent="0.3">
      <c r="A1640" s="73"/>
      <c r="B1640" s="74"/>
      <c r="C1640" s="75"/>
      <c r="D1640" s="76"/>
      <c r="E1640" s="77"/>
      <c r="F1640" s="78"/>
      <c r="G1640" s="78"/>
      <c r="H1640" s="79"/>
      <c r="I1640" s="80"/>
      <c r="J1640" s="77"/>
      <c r="K1640" s="81" t="b">
        <v>0</v>
      </c>
      <c r="L1640" s="78"/>
      <c r="M1640" s="82"/>
      <c r="N1640" s="78"/>
      <c r="O1640" s="78"/>
      <c r="P1640" s="78"/>
      <c r="Q1640" s="78"/>
      <c r="R1640" s="78"/>
      <c r="S1640" s="78"/>
      <c r="T1640" s="83"/>
    </row>
    <row r="1641" spans="1:20" ht="15" customHeight="1" x14ac:dyDescent="0.3">
      <c r="A1641" s="73"/>
      <c r="B1641" s="74"/>
      <c r="C1641" s="75"/>
      <c r="D1641" s="76"/>
      <c r="E1641" s="77"/>
      <c r="F1641" s="78"/>
      <c r="G1641" s="78"/>
      <c r="H1641" s="79"/>
      <c r="I1641" s="80"/>
      <c r="J1641" s="77"/>
      <c r="K1641" s="81" t="b">
        <v>0</v>
      </c>
      <c r="L1641" s="78"/>
      <c r="M1641" s="82"/>
      <c r="N1641" s="78"/>
      <c r="O1641" s="78"/>
      <c r="P1641" s="78"/>
      <c r="Q1641" s="78"/>
      <c r="R1641" s="78"/>
      <c r="S1641" s="78"/>
      <c r="T1641" s="83"/>
    </row>
    <row r="1642" spans="1:20" ht="15" customHeight="1" x14ac:dyDescent="0.3">
      <c r="A1642" s="73"/>
      <c r="B1642" s="74"/>
      <c r="C1642" s="75"/>
      <c r="D1642" s="76"/>
      <c r="E1642" s="77"/>
      <c r="F1642" s="78"/>
      <c r="G1642" s="78"/>
      <c r="H1642" s="79"/>
      <c r="I1642" s="80"/>
      <c r="J1642" s="77"/>
      <c r="K1642" s="81" t="b">
        <v>0</v>
      </c>
      <c r="L1642" s="78"/>
      <c r="M1642" s="82"/>
      <c r="N1642" s="78"/>
      <c r="O1642" s="78"/>
      <c r="P1642" s="78"/>
      <c r="Q1642" s="78"/>
      <c r="R1642" s="78"/>
      <c r="S1642" s="78"/>
      <c r="T1642" s="83"/>
    </row>
    <row r="1643" spans="1:20" ht="15" customHeight="1" x14ac:dyDescent="0.3">
      <c r="A1643" s="73"/>
      <c r="B1643" s="74"/>
      <c r="C1643" s="75"/>
      <c r="D1643" s="76"/>
      <c r="E1643" s="77"/>
      <c r="F1643" s="78"/>
      <c r="G1643" s="78"/>
      <c r="H1643" s="79"/>
      <c r="I1643" s="80"/>
      <c r="J1643" s="77"/>
      <c r="K1643" s="81" t="b">
        <v>0</v>
      </c>
      <c r="L1643" s="78"/>
      <c r="M1643" s="82"/>
      <c r="N1643" s="78"/>
      <c r="O1643" s="78"/>
      <c r="P1643" s="78"/>
      <c r="Q1643" s="78"/>
      <c r="R1643" s="78"/>
      <c r="S1643" s="78"/>
      <c r="T1643" s="83"/>
    </row>
    <row r="1644" spans="1:20" ht="15" customHeight="1" x14ac:dyDescent="0.3">
      <c r="A1644" s="73"/>
      <c r="B1644" s="74"/>
      <c r="C1644" s="75"/>
      <c r="D1644" s="76"/>
      <c r="E1644" s="77"/>
      <c r="F1644" s="78"/>
      <c r="G1644" s="78"/>
      <c r="H1644" s="79"/>
      <c r="I1644" s="80"/>
      <c r="J1644" s="77"/>
      <c r="K1644" s="81" t="b">
        <v>0</v>
      </c>
      <c r="L1644" s="78"/>
      <c r="M1644" s="82"/>
      <c r="N1644" s="78"/>
      <c r="O1644" s="78"/>
      <c r="P1644" s="78"/>
      <c r="Q1644" s="78"/>
      <c r="R1644" s="78"/>
      <c r="S1644" s="78"/>
      <c r="T1644" s="83"/>
    </row>
    <row r="1645" spans="1:20" ht="15" customHeight="1" x14ac:dyDescent="0.3">
      <c r="A1645" s="73"/>
      <c r="B1645" s="74"/>
      <c r="C1645" s="75"/>
      <c r="D1645" s="76"/>
      <c r="E1645" s="77"/>
      <c r="F1645" s="78"/>
      <c r="G1645" s="78"/>
      <c r="H1645" s="79"/>
      <c r="I1645" s="80"/>
      <c r="J1645" s="77"/>
      <c r="K1645" s="81" t="b">
        <v>0</v>
      </c>
      <c r="L1645" s="78"/>
      <c r="M1645" s="82"/>
      <c r="N1645" s="78"/>
      <c r="O1645" s="78"/>
      <c r="P1645" s="78"/>
      <c r="Q1645" s="78"/>
      <c r="R1645" s="78"/>
      <c r="S1645" s="78"/>
      <c r="T1645" s="83"/>
    </row>
    <row r="1646" spans="1:20" ht="15" customHeight="1" x14ac:dyDescent="0.3">
      <c r="A1646" s="73"/>
      <c r="B1646" s="74"/>
      <c r="C1646" s="75"/>
      <c r="D1646" s="76"/>
      <c r="E1646" s="77"/>
      <c r="F1646" s="78"/>
      <c r="G1646" s="78"/>
      <c r="H1646" s="79"/>
      <c r="I1646" s="80"/>
      <c r="J1646" s="77"/>
      <c r="K1646" s="81" t="b">
        <v>0</v>
      </c>
      <c r="L1646" s="78"/>
      <c r="M1646" s="82"/>
      <c r="N1646" s="78"/>
      <c r="O1646" s="78"/>
      <c r="P1646" s="78"/>
      <c r="Q1646" s="78"/>
      <c r="R1646" s="78"/>
      <c r="S1646" s="78"/>
      <c r="T1646" s="83"/>
    </row>
    <row r="1647" spans="1:20" ht="15" customHeight="1" x14ac:dyDescent="0.3">
      <c r="A1647" s="73"/>
      <c r="B1647" s="74"/>
      <c r="C1647" s="75"/>
      <c r="D1647" s="76"/>
      <c r="E1647" s="77"/>
      <c r="F1647" s="78"/>
      <c r="G1647" s="78"/>
      <c r="H1647" s="79"/>
      <c r="I1647" s="80"/>
      <c r="J1647" s="77"/>
      <c r="K1647" s="81" t="b">
        <v>0</v>
      </c>
      <c r="L1647" s="78"/>
      <c r="M1647" s="82"/>
      <c r="N1647" s="78"/>
      <c r="O1647" s="78"/>
      <c r="P1647" s="78"/>
      <c r="Q1647" s="78"/>
      <c r="R1647" s="78"/>
      <c r="S1647" s="78"/>
      <c r="T1647" s="83"/>
    </row>
    <row r="1648" spans="1:20" ht="15" customHeight="1" x14ac:dyDescent="0.3">
      <c r="A1648" s="73"/>
      <c r="B1648" s="74"/>
      <c r="C1648" s="75"/>
      <c r="D1648" s="76"/>
      <c r="E1648" s="77"/>
      <c r="F1648" s="78"/>
      <c r="G1648" s="78"/>
      <c r="H1648" s="79"/>
      <c r="I1648" s="80"/>
      <c r="J1648" s="77"/>
      <c r="K1648" s="81" t="b">
        <v>0</v>
      </c>
      <c r="L1648" s="78"/>
      <c r="M1648" s="82"/>
      <c r="N1648" s="78"/>
      <c r="O1648" s="78"/>
      <c r="P1648" s="78"/>
      <c r="Q1648" s="78"/>
      <c r="R1648" s="78"/>
      <c r="S1648" s="78"/>
      <c r="T1648" s="83"/>
    </row>
    <row r="1649" spans="1:20" ht="15" customHeight="1" x14ac:dyDescent="0.3">
      <c r="A1649" s="73"/>
      <c r="B1649" s="74"/>
      <c r="C1649" s="75"/>
      <c r="D1649" s="76"/>
      <c r="E1649" s="77"/>
      <c r="F1649" s="78"/>
      <c r="G1649" s="78"/>
      <c r="H1649" s="79"/>
      <c r="I1649" s="80"/>
      <c r="J1649" s="77"/>
      <c r="K1649" s="81" t="b">
        <v>0</v>
      </c>
      <c r="L1649" s="78"/>
      <c r="M1649" s="82"/>
      <c r="N1649" s="78"/>
      <c r="O1649" s="78"/>
      <c r="P1649" s="78"/>
      <c r="Q1649" s="78"/>
      <c r="R1649" s="78"/>
      <c r="S1649" s="78"/>
      <c r="T1649" s="83"/>
    </row>
    <row r="1650" spans="1:20" ht="15" customHeight="1" x14ac:dyDescent="0.3">
      <c r="A1650" s="73"/>
      <c r="B1650" s="74"/>
      <c r="C1650" s="75"/>
      <c r="D1650" s="76"/>
      <c r="E1650" s="77"/>
      <c r="F1650" s="78"/>
      <c r="G1650" s="78"/>
      <c r="H1650" s="79"/>
      <c r="I1650" s="80"/>
      <c r="J1650" s="77"/>
      <c r="K1650" s="81" t="b">
        <v>0</v>
      </c>
      <c r="L1650" s="78"/>
      <c r="M1650" s="82"/>
      <c r="N1650" s="78"/>
      <c r="O1650" s="78"/>
      <c r="P1650" s="78"/>
      <c r="Q1650" s="78"/>
      <c r="R1650" s="78"/>
      <c r="S1650" s="78"/>
      <c r="T1650" s="83"/>
    </row>
    <row r="1651" spans="1:20" ht="15" customHeight="1" x14ac:dyDescent="0.3">
      <c r="A1651" s="73"/>
      <c r="B1651" s="74"/>
      <c r="C1651" s="75"/>
      <c r="D1651" s="76"/>
      <c r="E1651" s="77"/>
      <c r="F1651" s="78"/>
      <c r="G1651" s="78"/>
      <c r="H1651" s="79"/>
      <c r="I1651" s="80"/>
      <c r="J1651" s="77"/>
      <c r="K1651" s="81" t="b">
        <v>0</v>
      </c>
      <c r="L1651" s="78"/>
      <c r="M1651" s="82"/>
      <c r="N1651" s="78"/>
      <c r="O1651" s="78"/>
      <c r="P1651" s="78"/>
      <c r="Q1651" s="78"/>
      <c r="R1651" s="78"/>
      <c r="S1651" s="78"/>
      <c r="T1651" s="83"/>
    </row>
    <row r="1652" spans="1:20" ht="15" customHeight="1" x14ac:dyDescent="0.3">
      <c r="A1652" s="73"/>
      <c r="B1652" s="74"/>
      <c r="C1652" s="75"/>
      <c r="D1652" s="76"/>
      <c r="E1652" s="77"/>
      <c r="F1652" s="78"/>
      <c r="G1652" s="78"/>
      <c r="H1652" s="79"/>
      <c r="I1652" s="80"/>
      <c r="J1652" s="77"/>
      <c r="K1652" s="81" t="b">
        <v>0</v>
      </c>
      <c r="L1652" s="78"/>
      <c r="M1652" s="82"/>
      <c r="N1652" s="78"/>
      <c r="O1652" s="78"/>
      <c r="P1652" s="78"/>
      <c r="Q1652" s="78"/>
      <c r="R1652" s="78"/>
      <c r="S1652" s="78"/>
      <c r="T1652" s="83"/>
    </row>
    <row r="1653" spans="1:20" ht="15" customHeight="1" x14ac:dyDescent="0.3">
      <c r="A1653" s="73"/>
      <c r="B1653" s="74"/>
      <c r="C1653" s="75"/>
      <c r="D1653" s="76"/>
      <c r="E1653" s="77"/>
      <c r="F1653" s="78"/>
      <c r="G1653" s="78"/>
      <c r="H1653" s="79"/>
      <c r="I1653" s="80"/>
      <c r="J1653" s="77"/>
      <c r="K1653" s="81" t="b">
        <v>0</v>
      </c>
      <c r="L1653" s="78"/>
      <c r="M1653" s="82"/>
      <c r="N1653" s="78"/>
      <c r="O1653" s="78"/>
      <c r="P1653" s="78"/>
      <c r="Q1653" s="78"/>
      <c r="R1653" s="78"/>
      <c r="S1653" s="78"/>
      <c r="T1653" s="83"/>
    </row>
    <row r="1654" spans="1:20" ht="15" customHeight="1" x14ac:dyDescent="0.3">
      <c r="A1654" s="73"/>
      <c r="B1654" s="74"/>
      <c r="C1654" s="75"/>
      <c r="D1654" s="76"/>
      <c r="E1654" s="77"/>
      <c r="F1654" s="78"/>
      <c r="G1654" s="78"/>
      <c r="H1654" s="79"/>
      <c r="I1654" s="80"/>
      <c r="J1654" s="77"/>
      <c r="K1654" s="81" t="b">
        <v>0</v>
      </c>
      <c r="L1654" s="78"/>
      <c r="M1654" s="82"/>
      <c r="N1654" s="78"/>
      <c r="O1654" s="78"/>
      <c r="P1654" s="78"/>
      <c r="Q1654" s="78"/>
      <c r="R1654" s="78"/>
      <c r="S1654" s="78"/>
      <c r="T1654" s="83"/>
    </row>
    <row r="1655" spans="1:20" ht="15" customHeight="1" x14ac:dyDescent="0.3">
      <c r="A1655" s="73"/>
      <c r="B1655" s="74"/>
      <c r="C1655" s="75"/>
      <c r="D1655" s="76"/>
      <c r="E1655" s="77"/>
      <c r="F1655" s="78"/>
      <c r="G1655" s="78"/>
      <c r="H1655" s="79"/>
      <c r="I1655" s="80"/>
      <c r="J1655" s="77"/>
      <c r="K1655" s="81" t="b">
        <v>0</v>
      </c>
      <c r="L1655" s="78"/>
      <c r="M1655" s="82"/>
      <c r="N1655" s="78"/>
      <c r="O1655" s="78"/>
      <c r="P1655" s="78"/>
      <c r="Q1655" s="78"/>
      <c r="R1655" s="78"/>
      <c r="S1655" s="78"/>
      <c r="T1655" s="83"/>
    </row>
    <row r="1656" spans="1:20" ht="15" customHeight="1" x14ac:dyDescent="0.3">
      <c r="A1656" s="73"/>
      <c r="B1656" s="74"/>
      <c r="C1656" s="75"/>
      <c r="D1656" s="76"/>
      <c r="E1656" s="77"/>
      <c r="F1656" s="78"/>
      <c r="G1656" s="78"/>
      <c r="H1656" s="79"/>
      <c r="I1656" s="80"/>
      <c r="J1656" s="77"/>
      <c r="K1656" s="81" t="b">
        <v>0</v>
      </c>
      <c r="L1656" s="78"/>
      <c r="M1656" s="82"/>
      <c r="N1656" s="78"/>
      <c r="O1656" s="78"/>
      <c r="P1656" s="78"/>
      <c r="Q1656" s="78"/>
      <c r="R1656" s="78"/>
      <c r="S1656" s="78"/>
      <c r="T1656" s="83"/>
    </row>
    <row r="1657" spans="1:20" ht="15" customHeight="1" x14ac:dyDescent="0.3">
      <c r="A1657" s="73"/>
      <c r="B1657" s="74"/>
      <c r="C1657" s="75"/>
      <c r="D1657" s="76"/>
      <c r="E1657" s="77"/>
      <c r="F1657" s="78"/>
      <c r="G1657" s="78"/>
      <c r="H1657" s="79"/>
      <c r="I1657" s="80"/>
      <c r="J1657" s="77"/>
      <c r="K1657" s="81" t="b">
        <v>0</v>
      </c>
      <c r="L1657" s="78"/>
      <c r="M1657" s="82"/>
      <c r="N1657" s="78"/>
      <c r="O1657" s="78"/>
      <c r="P1657" s="78"/>
      <c r="Q1657" s="78"/>
      <c r="R1657" s="78"/>
      <c r="S1657" s="78"/>
      <c r="T1657" s="83"/>
    </row>
    <row r="1658" spans="1:20" ht="15" customHeight="1" x14ac:dyDescent="0.3">
      <c r="A1658" s="73"/>
      <c r="B1658" s="74"/>
      <c r="C1658" s="75"/>
      <c r="D1658" s="76"/>
      <c r="E1658" s="77"/>
      <c r="F1658" s="78"/>
      <c r="G1658" s="78"/>
      <c r="H1658" s="79"/>
      <c r="I1658" s="80"/>
      <c r="J1658" s="77"/>
      <c r="K1658" s="81" t="b">
        <v>0</v>
      </c>
      <c r="L1658" s="78"/>
      <c r="M1658" s="82"/>
      <c r="N1658" s="78"/>
      <c r="O1658" s="78"/>
      <c r="P1658" s="78"/>
      <c r="Q1658" s="78"/>
      <c r="R1658" s="78"/>
      <c r="S1658" s="78"/>
      <c r="T1658" s="83"/>
    </row>
    <row r="1659" spans="1:20" ht="15" customHeight="1" x14ac:dyDescent="0.3">
      <c r="A1659" s="73"/>
      <c r="B1659" s="74"/>
      <c r="C1659" s="75"/>
      <c r="D1659" s="76"/>
      <c r="E1659" s="77"/>
      <c r="F1659" s="78"/>
      <c r="G1659" s="78"/>
      <c r="H1659" s="79"/>
      <c r="I1659" s="80"/>
      <c r="J1659" s="77"/>
      <c r="K1659" s="81" t="b">
        <v>0</v>
      </c>
      <c r="L1659" s="78"/>
      <c r="M1659" s="82"/>
      <c r="N1659" s="78"/>
      <c r="O1659" s="78"/>
      <c r="P1659" s="78"/>
      <c r="Q1659" s="78"/>
      <c r="R1659" s="78"/>
      <c r="S1659" s="78"/>
      <c r="T1659" s="83"/>
    </row>
    <row r="1660" spans="1:20" ht="15" customHeight="1" x14ac:dyDescent="0.3">
      <c r="A1660" s="73"/>
      <c r="B1660" s="74"/>
      <c r="C1660" s="75"/>
      <c r="D1660" s="76"/>
      <c r="E1660" s="77"/>
      <c r="F1660" s="78"/>
      <c r="G1660" s="78"/>
      <c r="H1660" s="79"/>
      <c r="I1660" s="80"/>
      <c r="J1660" s="77"/>
      <c r="K1660" s="81" t="b">
        <v>0</v>
      </c>
      <c r="L1660" s="78"/>
      <c r="M1660" s="82"/>
      <c r="N1660" s="78"/>
      <c r="O1660" s="78"/>
      <c r="P1660" s="78"/>
      <c r="Q1660" s="78"/>
      <c r="R1660" s="78"/>
      <c r="S1660" s="78"/>
      <c r="T1660" s="83"/>
    </row>
    <row r="1661" spans="1:20" ht="15" customHeight="1" x14ac:dyDescent="0.3">
      <c r="A1661" s="73"/>
      <c r="B1661" s="74"/>
      <c r="C1661" s="75"/>
      <c r="D1661" s="76"/>
      <c r="E1661" s="77"/>
      <c r="F1661" s="78"/>
      <c r="G1661" s="78"/>
      <c r="H1661" s="79"/>
      <c r="I1661" s="80"/>
      <c r="J1661" s="77"/>
      <c r="K1661" s="81" t="b">
        <v>0</v>
      </c>
      <c r="L1661" s="78"/>
      <c r="M1661" s="82"/>
      <c r="N1661" s="78"/>
      <c r="O1661" s="78"/>
      <c r="P1661" s="78"/>
      <c r="Q1661" s="78"/>
      <c r="R1661" s="78"/>
      <c r="S1661" s="78"/>
      <c r="T1661" s="83"/>
    </row>
    <row r="1662" spans="1:20" ht="15" customHeight="1" x14ac:dyDescent="0.3">
      <c r="A1662" s="73"/>
      <c r="B1662" s="74"/>
      <c r="C1662" s="75"/>
      <c r="D1662" s="76"/>
      <c r="E1662" s="77"/>
      <c r="F1662" s="78"/>
      <c r="G1662" s="78"/>
      <c r="H1662" s="79"/>
      <c r="I1662" s="80"/>
      <c r="J1662" s="77"/>
      <c r="K1662" s="81" t="b">
        <v>0</v>
      </c>
      <c r="L1662" s="78"/>
      <c r="M1662" s="82"/>
      <c r="N1662" s="78"/>
      <c r="O1662" s="78"/>
      <c r="P1662" s="78"/>
      <c r="Q1662" s="78"/>
      <c r="R1662" s="78"/>
      <c r="S1662" s="78"/>
      <c r="T1662" s="83"/>
    </row>
    <row r="1663" spans="1:20" ht="15" customHeight="1" x14ac:dyDescent="0.3">
      <c r="A1663" s="73"/>
      <c r="B1663" s="74"/>
      <c r="C1663" s="75"/>
      <c r="D1663" s="76"/>
      <c r="E1663" s="77"/>
      <c r="F1663" s="78"/>
      <c r="G1663" s="78"/>
      <c r="H1663" s="79"/>
      <c r="I1663" s="80"/>
      <c r="J1663" s="77"/>
      <c r="K1663" s="81" t="b">
        <v>0</v>
      </c>
      <c r="L1663" s="78"/>
      <c r="M1663" s="82"/>
      <c r="N1663" s="78"/>
      <c r="O1663" s="78"/>
      <c r="P1663" s="78"/>
      <c r="Q1663" s="78"/>
      <c r="R1663" s="78"/>
      <c r="S1663" s="78"/>
      <c r="T1663" s="83"/>
    </row>
    <row r="1664" spans="1:20" ht="15" customHeight="1" x14ac:dyDescent="0.3">
      <c r="A1664" s="73"/>
      <c r="B1664" s="74"/>
      <c r="C1664" s="75"/>
      <c r="D1664" s="76"/>
      <c r="E1664" s="77"/>
      <c r="F1664" s="78"/>
      <c r="G1664" s="78"/>
      <c r="H1664" s="79"/>
      <c r="I1664" s="80"/>
      <c r="J1664" s="77"/>
      <c r="K1664" s="81" t="b">
        <v>0</v>
      </c>
      <c r="L1664" s="78"/>
      <c r="M1664" s="82"/>
      <c r="N1664" s="78"/>
      <c r="O1664" s="78"/>
      <c r="P1664" s="78"/>
      <c r="Q1664" s="78"/>
      <c r="R1664" s="78"/>
      <c r="S1664" s="78"/>
      <c r="T1664" s="83"/>
    </row>
    <row r="1665" spans="1:20" ht="15" customHeight="1" x14ac:dyDescent="0.3">
      <c r="A1665" s="73"/>
      <c r="B1665" s="74"/>
      <c r="C1665" s="75"/>
      <c r="D1665" s="76"/>
      <c r="E1665" s="77"/>
      <c r="F1665" s="78"/>
      <c r="G1665" s="78"/>
      <c r="H1665" s="79"/>
      <c r="I1665" s="80"/>
      <c r="J1665" s="77"/>
      <c r="K1665" s="81" t="b">
        <v>0</v>
      </c>
      <c r="L1665" s="78"/>
      <c r="M1665" s="82"/>
      <c r="N1665" s="78"/>
      <c r="O1665" s="78"/>
      <c r="P1665" s="78"/>
      <c r="Q1665" s="78"/>
      <c r="R1665" s="78"/>
      <c r="S1665" s="78"/>
      <c r="T1665" s="83"/>
    </row>
    <row r="1666" spans="1:20" ht="15" customHeight="1" x14ac:dyDescent="0.3">
      <c r="A1666" s="73"/>
      <c r="B1666" s="74"/>
      <c r="C1666" s="75"/>
      <c r="D1666" s="76"/>
      <c r="E1666" s="77"/>
      <c r="F1666" s="78"/>
      <c r="G1666" s="78"/>
      <c r="H1666" s="79"/>
      <c r="I1666" s="80"/>
      <c r="J1666" s="77"/>
      <c r="K1666" s="81" t="b">
        <v>0</v>
      </c>
      <c r="L1666" s="78"/>
      <c r="M1666" s="82"/>
      <c r="N1666" s="78"/>
      <c r="O1666" s="78"/>
      <c r="P1666" s="78"/>
      <c r="Q1666" s="78"/>
      <c r="R1666" s="78"/>
      <c r="S1666" s="78"/>
      <c r="T1666" s="83"/>
    </row>
    <row r="1667" spans="1:20" ht="15" customHeight="1" x14ac:dyDescent="0.3">
      <c r="A1667" s="73"/>
      <c r="B1667" s="74"/>
      <c r="C1667" s="75"/>
      <c r="D1667" s="76"/>
      <c r="E1667" s="77"/>
      <c r="F1667" s="78"/>
      <c r="G1667" s="78"/>
      <c r="H1667" s="79"/>
      <c r="I1667" s="80"/>
      <c r="J1667" s="77"/>
      <c r="K1667" s="81" t="b">
        <v>0</v>
      </c>
      <c r="L1667" s="78"/>
      <c r="M1667" s="82"/>
      <c r="N1667" s="78"/>
      <c r="O1667" s="78"/>
      <c r="P1667" s="78"/>
      <c r="Q1667" s="78"/>
      <c r="R1667" s="78"/>
      <c r="S1667" s="78"/>
      <c r="T1667" s="83"/>
    </row>
    <row r="1668" spans="1:20" ht="15" customHeight="1" x14ac:dyDescent="0.3">
      <c r="A1668" s="73"/>
      <c r="B1668" s="74"/>
      <c r="C1668" s="75"/>
      <c r="D1668" s="76"/>
      <c r="E1668" s="77"/>
      <c r="F1668" s="78"/>
      <c r="G1668" s="78"/>
      <c r="H1668" s="79"/>
      <c r="I1668" s="80"/>
      <c r="J1668" s="77"/>
      <c r="K1668" s="81" t="b">
        <v>0</v>
      </c>
      <c r="L1668" s="78"/>
      <c r="M1668" s="82"/>
      <c r="N1668" s="78"/>
      <c r="O1668" s="78"/>
      <c r="P1668" s="78"/>
      <c r="Q1668" s="78"/>
      <c r="R1668" s="78"/>
      <c r="S1668" s="78"/>
      <c r="T1668" s="83"/>
    </row>
    <row r="1669" spans="1:20" ht="15" customHeight="1" x14ac:dyDescent="0.3">
      <c r="A1669" s="73"/>
      <c r="B1669" s="74"/>
      <c r="C1669" s="75"/>
      <c r="D1669" s="76"/>
      <c r="E1669" s="77"/>
      <c r="F1669" s="78"/>
      <c r="G1669" s="78"/>
      <c r="H1669" s="79"/>
      <c r="I1669" s="80"/>
      <c r="J1669" s="77"/>
      <c r="K1669" s="81" t="b">
        <v>0</v>
      </c>
      <c r="L1669" s="78"/>
      <c r="M1669" s="82"/>
      <c r="N1669" s="78"/>
      <c r="O1669" s="78"/>
      <c r="P1669" s="78"/>
      <c r="Q1669" s="78"/>
      <c r="R1669" s="78"/>
      <c r="S1669" s="78"/>
      <c r="T1669" s="83"/>
    </row>
    <row r="1670" spans="1:20" ht="15" customHeight="1" x14ac:dyDescent="0.3">
      <c r="A1670" s="73"/>
      <c r="B1670" s="74"/>
      <c r="C1670" s="75"/>
      <c r="D1670" s="76"/>
      <c r="E1670" s="77"/>
      <c r="F1670" s="78"/>
      <c r="G1670" s="78"/>
      <c r="H1670" s="79"/>
      <c r="I1670" s="80"/>
      <c r="J1670" s="77"/>
      <c r="K1670" s="81" t="b">
        <v>0</v>
      </c>
      <c r="L1670" s="78"/>
      <c r="M1670" s="82"/>
      <c r="N1670" s="78"/>
      <c r="O1670" s="78"/>
      <c r="P1670" s="78"/>
      <c r="Q1670" s="78"/>
      <c r="R1670" s="78"/>
      <c r="S1670" s="78"/>
      <c r="T1670" s="83"/>
    </row>
    <row r="1671" spans="1:20" ht="15" customHeight="1" x14ac:dyDescent="0.3">
      <c r="A1671" s="73"/>
      <c r="B1671" s="74"/>
      <c r="C1671" s="75"/>
      <c r="D1671" s="76"/>
      <c r="E1671" s="77"/>
      <c r="F1671" s="78"/>
      <c r="G1671" s="78"/>
      <c r="H1671" s="79"/>
      <c r="I1671" s="80"/>
      <c r="J1671" s="77"/>
      <c r="K1671" s="81" t="b">
        <v>0</v>
      </c>
      <c r="L1671" s="78"/>
      <c r="M1671" s="82"/>
      <c r="N1671" s="78"/>
      <c r="O1671" s="78"/>
      <c r="P1671" s="78"/>
      <c r="Q1671" s="78"/>
      <c r="R1671" s="78"/>
      <c r="S1671" s="78"/>
      <c r="T1671" s="83"/>
    </row>
    <row r="1672" spans="1:20" ht="15" customHeight="1" x14ac:dyDescent="0.3">
      <c r="A1672" s="73"/>
      <c r="B1672" s="74"/>
      <c r="C1672" s="75"/>
      <c r="D1672" s="76"/>
      <c r="E1672" s="77"/>
      <c r="F1672" s="78"/>
      <c r="G1672" s="78"/>
      <c r="H1672" s="79"/>
      <c r="I1672" s="80"/>
      <c r="J1672" s="77"/>
      <c r="K1672" s="81" t="b">
        <v>0</v>
      </c>
      <c r="L1672" s="78"/>
      <c r="M1672" s="82"/>
      <c r="N1672" s="78"/>
      <c r="O1672" s="78"/>
      <c r="P1672" s="78"/>
      <c r="Q1672" s="78"/>
      <c r="R1672" s="78"/>
      <c r="S1672" s="78"/>
      <c r="T1672" s="83"/>
    </row>
    <row r="1673" spans="1:20" ht="15" customHeight="1" x14ac:dyDescent="0.3">
      <c r="A1673" s="73"/>
      <c r="B1673" s="74"/>
      <c r="C1673" s="75"/>
      <c r="D1673" s="76"/>
      <c r="E1673" s="77"/>
      <c r="F1673" s="78"/>
      <c r="G1673" s="78"/>
      <c r="H1673" s="79"/>
      <c r="I1673" s="80"/>
      <c r="J1673" s="77"/>
      <c r="K1673" s="81" t="b">
        <v>0</v>
      </c>
      <c r="L1673" s="78"/>
      <c r="M1673" s="82"/>
      <c r="N1673" s="78"/>
      <c r="O1673" s="78"/>
      <c r="P1673" s="78"/>
      <c r="Q1673" s="78"/>
      <c r="R1673" s="78"/>
      <c r="S1673" s="78"/>
      <c r="T1673" s="83"/>
    </row>
    <row r="1674" spans="1:20" ht="15" customHeight="1" x14ac:dyDescent="0.3">
      <c r="A1674" s="73"/>
      <c r="B1674" s="74"/>
      <c r="C1674" s="75"/>
      <c r="D1674" s="76"/>
      <c r="E1674" s="77"/>
      <c r="F1674" s="78"/>
      <c r="G1674" s="78"/>
      <c r="H1674" s="79"/>
      <c r="I1674" s="80"/>
      <c r="J1674" s="77"/>
      <c r="K1674" s="81" t="b">
        <v>0</v>
      </c>
      <c r="L1674" s="78"/>
      <c r="M1674" s="82"/>
      <c r="N1674" s="78"/>
      <c r="O1674" s="78"/>
      <c r="P1674" s="78"/>
      <c r="Q1674" s="78"/>
      <c r="R1674" s="78"/>
      <c r="S1674" s="78"/>
      <c r="T1674" s="83"/>
    </row>
    <row r="1675" spans="1:20" ht="15" customHeight="1" x14ac:dyDescent="0.3">
      <c r="A1675" s="73"/>
      <c r="B1675" s="74"/>
      <c r="C1675" s="75"/>
      <c r="D1675" s="76"/>
      <c r="E1675" s="77"/>
      <c r="F1675" s="78"/>
      <c r="G1675" s="78"/>
      <c r="H1675" s="79"/>
      <c r="I1675" s="80"/>
      <c r="J1675" s="77"/>
      <c r="K1675" s="81" t="b">
        <v>0</v>
      </c>
      <c r="L1675" s="78"/>
      <c r="M1675" s="82"/>
      <c r="N1675" s="78"/>
      <c r="O1675" s="78"/>
      <c r="P1675" s="78"/>
      <c r="Q1675" s="78"/>
      <c r="R1675" s="78"/>
      <c r="S1675" s="78"/>
      <c r="T1675" s="83"/>
    </row>
    <row r="1676" spans="1:20" ht="15" customHeight="1" x14ac:dyDescent="0.3">
      <c r="A1676" s="73"/>
      <c r="B1676" s="74"/>
      <c r="C1676" s="75"/>
      <c r="D1676" s="76"/>
      <c r="E1676" s="77"/>
      <c r="F1676" s="78"/>
      <c r="G1676" s="78"/>
      <c r="H1676" s="79"/>
      <c r="I1676" s="80"/>
      <c r="J1676" s="77"/>
      <c r="K1676" s="81" t="b">
        <v>0</v>
      </c>
      <c r="L1676" s="78"/>
      <c r="M1676" s="82"/>
      <c r="N1676" s="78"/>
      <c r="O1676" s="78"/>
      <c r="P1676" s="78"/>
      <c r="Q1676" s="78"/>
      <c r="R1676" s="78"/>
      <c r="S1676" s="78"/>
      <c r="T1676" s="83"/>
    </row>
    <row r="1677" spans="1:20" ht="15" customHeight="1" x14ac:dyDescent="0.3">
      <c r="A1677" s="73"/>
      <c r="B1677" s="74"/>
      <c r="C1677" s="75"/>
      <c r="D1677" s="76"/>
      <c r="E1677" s="77"/>
      <c r="F1677" s="78"/>
      <c r="G1677" s="78"/>
      <c r="H1677" s="79"/>
      <c r="I1677" s="80"/>
      <c r="J1677" s="77"/>
      <c r="K1677" s="81" t="b">
        <v>0</v>
      </c>
      <c r="L1677" s="78"/>
      <c r="M1677" s="82"/>
      <c r="N1677" s="78"/>
      <c r="O1677" s="78"/>
      <c r="P1677" s="78"/>
      <c r="Q1677" s="78"/>
      <c r="R1677" s="78"/>
      <c r="S1677" s="78"/>
      <c r="T1677" s="83"/>
    </row>
    <row r="1678" spans="1:20" ht="15" customHeight="1" x14ac:dyDescent="0.3">
      <c r="A1678" s="73"/>
      <c r="B1678" s="74"/>
      <c r="C1678" s="75"/>
      <c r="D1678" s="76"/>
      <c r="E1678" s="77"/>
      <c r="F1678" s="78"/>
      <c r="G1678" s="78"/>
      <c r="H1678" s="79"/>
      <c r="I1678" s="80"/>
      <c r="J1678" s="77"/>
      <c r="K1678" s="81" t="b">
        <v>0</v>
      </c>
      <c r="L1678" s="78"/>
      <c r="M1678" s="82"/>
      <c r="N1678" s="78"/>
      <c r="O1678" s="78"/>
      <c r="P1678" s="78"/>
      <c r="Q1678" s="78"/>
      <c r="R1678" s="78"/>
      <c r="S1678" s="78"/>
      <c r="T1678" s="83"/>
    </row>
    <row r="1679" spans="1:20" ht="15" customHeight="1" x14ac:dyDescent="0.3">
      <c r="A1679" s="73"/>
      <c r="B1679" s="74"/>
      <c r="C1679" s="75"/>
      <c r="D1679" s="76"/>
      <c r="E1679" s="77"/>
      <c r="F1679" s="78"/>
      <c r="G1679" s="78"/>
      <c r="H1679" s="79"/>
      <c r="I1679" s="80"/>
      <c r="J1679" s="77"/>
      <c r="K1679" s="81" t="b">
        <v>0</v>
      </c>
      <c r="L1679" s="78"/>
      <c r="M1679" s="82"/>
      <c r="N1679" s="78"/>
      <c r="O1679" s="78"/>
      <c r="P1679" s="78"/>
      <c r="Q1679" s="78"/>
      <c r="R1679" s="78"/>
      <c r="S1679" s="78"/>
      <c r="T1679" s="83"/>
    </row>
    <row r="1680" spans="1:20" ht="15" customHeight="1" x14ac:dyDescent="0.3">
      <c r="A1680" s="73"/>
      <c r="B1680" s="74"/>
      <c r="C1680" s="75"/>
      <c r="D1680" s="76"/>
      <c r="E1680" s="77"/>
      <c r="F1680" s="78"/>
      <c r="G1680" s="78"/>
      <c r="H1680" s="79"/>
      <c r="I1680" s="80"/>
      <c r="J1680" s="77"/>
      <c r="K1680" s="81" t="b">
        <v>0</v>
      </c>
      <c r="L1680" s="78"/>
      <c r="M1680" s="82"/>
      <c r="N1680" s="78"/>
      <c r="O1680" s="78"/>
      <c r="P1680" s="78"/>
      <c r="Q1680" s="78"/>
      <c r="R1680" s="78"/>
      <c r="S1680" s="78"/>
      <c r="T1680" s="83"/>
    </row>
    <row r="1681" spans="1:20" ht="15" customHeight="1" x14ac:dyDescent="0.3">
      <c r="A1681" s="73"/>
      <c r="B1681" s="74"/>
      <c r="C1681" s="75"/>
      <c r="D1681" s="76"/>
      <c r="E1681" s="77"/>
      <c r="F1681" s="78"/>
      <c r="G1681" s="78"/>
      <c r="H1681" s="79"/>
      <c r="I1681" s="80"/>
      <c r="J1681" s="77"/>
      <c r="K1681" s="81" t="b">
        <v>0</v>
      </c>
      <c r="L1681" s="78"/>
      <c r="M1681" s="82"/>
      <c r="N1681" s="78"/>
      <c r="O1681" s="78"/>
      <c r="P1681" s="78"/>
      <c r="Q1681" s="78"/>
      <c r="R1681" s="78"/>
      <c r="S1681" s="78"/>
      <c r="T1681" s="83"/>
    </row>
    <row r="1682" spans="1:20" ht="15" customHeight="1" x14ac:dyDescent="0.3">
      <c r="A1682" s="73"/>
      <c r="B1682" s="74"/>
      <c r="C1682" s="75"/>
      <c r="D1682" s="76"/>
      <c r="E1682" s="77"/>
      <c r="F1682" s="78"/>
      <c r="G1682" s="78"/>
      <c r="H1682" s="79"/>
      <c r="I1682" s="80"/>
      <c r="J1682" s="77"/>
      <c r="K1682" s="81" t="b">
        <v>0</v>
      </c>
      <c r="L1682" s="78"/>
      <c r="M1682" s="82"/>
      <c r="N1682" s="78"/>
      <c r="O1682" s="78"/>
      <c r="P1682" s="78"/>
      <c r="Q1682" s="78"/>
      <c r="R1682" s="78"/>
      <c r="S1682" s="78"/>
      <c r="T1682" s="83"/>
    </row>
    <row r="1683" spans="1:20" ht="15" customHeight="1" x14ac:dyDescent="0.3">
      <c r="A1683" s="73"/>
      <c r="B1683" s="74"/>
      <c r="C1683" s="75"/>
      <c r="D1683" s="76"/>
      <c r="E1683" s="77"/>
      <c r="F1683" s="78"/>
      <c r="G1683" s="78"/>
      <c r="H1683" s="79"/>
      <c r="I1683" s="80"/>
      <c r="J1683" s="77"/>
      <c r="K1683" s="81" t="b">
        <v>0</v>
      </c>
      <c r="L1683" s="78"/>
      <c r="M1683" s="82"/>
      <c r="N1683" s="78"/>
      <c r="O1683" s="78"/>
      <c r="P1683" s="78"/>
      <c r="Q1683" s="78"/>
      <c r="R1683" s="78"/>
      <c r="S1683" s="78"/>
      <c r="T1683" s="83"/>
    </row>
    <row r="1684" spans="1:20" ht="15" customHeight="1" x14ac:dyDescent="0.3">
      <c r="A1684" s="73"/>
      <c r="B1684" s="74"/>
      <c r="C1684" s="75"/>
      <c r="D1684" s="76"/>
      <c r="E1684" s="77"/>
      <c r="F1684" s="78"/>
      <c r="G1684" s="78"/>
      <c r="H1684" s="79"/>
      <c r="I1684" s="80"/>
      <c r="J1684" s="77"/>
      <c r="K1684" s="81" t="b">
        <v>0</v>
      </c>
      <c r="L1684" s="78"/>
      <c r="M1684" s="82"/>
      <c r="N1684" s="78"/>
      <c r="O1684" s="78"/>
      <c r="P1684" s="78"/>
      <c r="Q1684" s="78"/>
      <c r="R1684" s="78"/>
      <c r="S1684" s="78"/>
      <c r="T1684" s="83"/>
    </row>
    <row r="1685" spans="1:20" ht="15" customHeight="1" x14ac:dyDescent="0.3">
      <c r="A1685" s="73"/>
      <c r="B1685" s="74"/>
      <c r="C1685" s="75"/>
      <c r="D1685" s="76"/>
      <c r="E1685" s="77"/>
      <c r="F1685" s="78"/>
      <c r="G1685" s="78"/>
      <c r="H1685" s="79"/>
      <c r="I1685" s="80"/>
      <c r="J1685" s="77"/>
      <c r="K1685" s="81" t="b">
        <v>0</v>
      </c>
      <c r="L1685" s="78"/>
      <c r="M1685" s="82"/>
      <c r="N1685" s="78"/>
      <c r="O1685" s="78"/>
      <c r="P1685" s="78"/>
      <c r="Q1685" s="78"/>
      <c r="R1685" s="78"/>
      <c r="S1685" s="78"/>
      <c r="T1685" s="83"/>
    </row>
    <row r="1686" spans="1:20" ht="15" customHeight="1" x14ac:dyDescent="0.3">
      <c r="A1686" s="73"/>
      <c r="B1686" s="74"/>
      <c r="C1686" s="75"/>
      <c r="D1686" s="76"/>
      <c r="E1686" s="77"/>
      <c r="F1686" s="78"/>
      <c r="G1686" s="78"/>
      <c r="H1686" s="79"/>
      <c r="I1686" s="80"/>
      <c r="J1686" s="77"/>
      <c r="K1686" s="81" t="b">
        <v>0</v>
      </c>
      <c r="L1686" s="78"/>
      <c r="M1686" s="82"/>
      <c r="N1686" s="78"/>
      <c r="O1686" s="78"/>
      <c r="P1686" s="78"/>
      <c r="Q1686" s="78"/>
      <c r="R1686" s="78"/>
      <c r="S1686" s="78"/>
      <c r="T1686" s="83"/>
    </row>
    <row r="1687" spans="1:20" ht="15" customHeight="1" x14ac:dyDescent="0.3">
      <c r="A1687" s="73"/>
      <c r="B1687" s="74"/>
      <c r="C1687" s="75"/>
      <c r="D1687" s="76"/>
      <c r="E1687" s="77"/>
      <c r="F1687" s="78"/>
      <c r="G1687" s="78"/>
      <c r="H1687" s="79"/>
      <c r="I1687" s="80"/>
      <c r="J1687" s="77"/>
      <c r="K1687" s="81" t="b">
        <v>0</v>
      </c>
      <c r="L1687" s="78"/>
      <c r="M1687" s="82"/>
      <c r="N1687" s="78"/>
      <c r="O1687" s="78"/>
      <c r="P1687" s="78"/>
      <c r="Q1687" s="78"/>
      <c r="R1687" s="78"/>
      <c r="S1687" s="78"/>
      <c r="T1687" s="83"/>
    </row>
    <row r="1688" spans="1:20" ht="15" customHeight="1" x14ac:dyDescent="0.3">
      <c r="A1688" s="73"/>
      <c r="B1688" s="74"/>
      <c r="C1688" s="75"/>
      <c r="D1688" s="76"/>
      <c r="E1688" s="77"/>
      <c r="F1688" s="78"/>
      <c r="G1688" s="78"/>
      <c r="H1688" s="79"/>
      <c r="I1688" s="80"/>
      <c r="J1688" s="77"/>
      <c r="K1688" s="81" t="b">
        <v>0</v>
      </c>
      <c r="L1688" s="78"/>
      <c r="M1688" s="82"/>
      <c r="N1688" s="78"/>
      <c r="O1688" s="78"/>
      <c r="P1688" s="78"/>
      <c r="Q1688" s="78"/>
      <c r="R1688" s="78"/>
      <c r="S1688" s="78"/>
      <c r="T1688" s="83"/>
    </row>
    <row r="1689" spans="1:20" ht="15" customHeight="1" x14ac:dyDescent="0.3">
      <c r="A1689" s="73"/>
      <c r="B1689" s="74"/>
      <c r="C1689" s="75"/>
      <c r="D1689" s="76"/>
      <c r="E1689" s="77"/>
      <c r="F1689" s="78"/>
      <c r="G1689" s="78"/>
      <c r="H1689" s="79"/>
      <c r="I1689" s="80"/>
      <c r="J1689" s="77"/>
      <c r="K1689" s="81" t="b">
        <v>0</v>
      </c>
      <c r="L1689" s="78"/>
      <c r="M1689" s="82"/>
      <c r="N1689" s="78"/>
      <c r="O1689" s="78"/>
      <c r="P1689" s="78"/>
      <c r="Q1689" s="78"/>
      <c r="R1689" s="78"/>
      <c r="S1689" s="78"/>
      <c r="T1689" s="83"/>
    </row>
    <row r="1690" spans="1:20" ht="15" customHeight="1" x14ac:dyDescent="0.3">
      <c r="A1690" s="73"/>
      <c r="B1690" s="74"/>
      <c r="C1690" s="75"/>
      <c r="D1690" s="76"/>
      <c r="E1690" s="77"/>
      <c r="F1690" s="78"/>
      <c r="G1690" s="78"/>
      <c r="H1690" s="79"/>
      <c r="I1690" s="80"/>
      <c r="J1690" s="77"/>
      <c r="K1690" s="81" t="b">
        <v>0</v>
      </c>
      <c r="L1690" s="78"/>
      <c r="M1690" s="82"/>
      <c r="N1690" s="78"/>
      <c r="O1690" s="78"/>
      <c r="P1690" s="78"/>
      <c r="Q1690" s="78"/>
      <c r="R1690" s="78"/>
      <c r="S1690" s="78"/>
      <c r="T1690" s="83"/>
    </row>
    <row r="1691" spans="1:20" ht="15" customHeight="1" x14ac:dyDescent="0.3">
      <c r="A1691" s="73"/>
      <c r="B1691" s="74"/>
      <c r="C1691" s="75"/>
      <c r="D1691" s="76"/>
      <c r="E1691" s="77"/>
      <c r="F1691" s="78"/>
      <c r="G1691" s="78"/>
      <c r="H1691" s="79"/>
      <c r="I1691" s="80"/>
      <c r="J1691" s="77"/>
      <c r="K1691" s="81" t="b">
        <v>0</v>
      </c>
      <c r="L1691" s="78"/>
      <c r="M1691" s="82"/>
      <c r="N1691" s="78"/>
      <c r="O1691" s="78"/>
      <c r="P1691" s="78"/>
      <c r="Q1691" s="78"/>
      <c r="R1691" s="78"/>
      <c r="S1691" s="78"/>
      <c r="T1691" s="83"/>
    </row>
    <row r="1692" spans="1:20" ht="15" customHeight="1" x14ac:dyDescent="0.3">
      <c r="A1692" s="73"/>
      <c r="B1692" s="74"/>
      <c r="C1692" s="75"/>
      <c r="D1692" s="76"/>
      <c r="E1692" s="77"/>
      <c r="F1692" s="78"/>
      <c r="G1692" s="78"/>
      <c r="H1692" s="79"/>
      <c r="I1692" s="80"/>
      <c r="J1692" s="77"/>
      <c r="K1692" s="81" t="b">
        <v>0</v>
      </c>
      <c r="L1692" s="78"/>
      <c r="M1692" s="82"/>
      <c r="N1692" s="78"/>
      <c r="O1692" s="78"/>
      <c r="P1692" s="78"/>
      <c r="Q1692" s="78"/>
      <c r="R1692" s="78"/>
      <c r="S1692" s="78"/>
      <c r="T1692" s="83"/>
    </row>
    <row r="1693" spans="1:20" ht="15" customHeight="1" x14ac:dyDescent="0.3">
      <c r="A1693" s="73"/>
      <c r="B1693" s="74"/>
      <c r="C1693" s="75"/>
      <c r="D1693" s="76"/>
      <c r="E1693" s="77"/>
      <c r="F1693" s="78"/>
      <c r="G1693" s="78"/>
      <c r="H1693" s="79"/>
      <c r="I1693" s="80"/>
      <c r="J1693" s="77"/>
      <c r="K1693" s="81" t="b">
        <v>0</v>
      </c>
      <c r="L1693" s="78"/>
      <c r="M1693" s="82"/>
      <c r="N1693" s="78"/>
      <c r="O1693" s="78"/>
      <c r="P1693" s="78"/>
      <c r="Q1693" s="78"/>
      <c r="R1693" s="78"/>
      <c r="S1693" s="78"/>
      <c r="T1693" s="83"/>
    </row>
    <row r="1694" spans="1:20" ht="15" customHeight="1" x14ac:dyDescent="0.3">
      <c r="A1694" s="73"/>
      <c r="B1694" s="74"/>
      <c r="C1694" s="75"/>
      <c r="D1694" s="76"/>
      <c r="E1694" s="77"/>
      <c r="F1694" s="78"/>
      <c r="G1694" s="78"/>
      <c r="H1694" s="79"/>
      <c r="I1694" s="80"/>
      <c r="J1694" s="77"/>
      <c r="K1694" s="81" t="b">
        <v>0</v>
      </c>
      <c r="L1694" s="78"/>
      <c r="M1694" s="82"/>
      <c r="N1694" s="78"/>
      <c r="O1694" s="78"/>
      <c r="P1694" s="78"/>
      <c r="Q1694" s="78"/>
      <c r="R1694" s="78"/>
      <c r="S1694" s="78"/>
      <c r="T1694" s="83"/>
    </row>
    <row r="1695" spans="1:20" ht="15" customHeight="1" x14ac:dyDescent="0.3">
      <c r="A1695" s="73"/>
      <c r="B1695" s="74"/>
      <c r="C1695" s="75"/>
      <c r="D1695" s="76"/>
      <c r="E1695" s="77"/>
      <c r="F1695" s="78"/>
      <c r="G1695" s="78"/>
      <c r="H1695" s="79"/>
      <c r="I1695" s="80"/>
      <c r="J1695" s="77"/>
      <c r="K1695" s="81" t="b">
        <v>0</v>
      </c>
      <c r="L1695" s="78"/>
      <c r="M1695" s="82"/>
      <c r="N1695" s="78"/>
      <c r="O1695" s="78"/>
      <c r="P1695" s="78"/>
      <c r="Q1695" s="78"/>
      <c r="R1695" s="78"/>
      <c r="S1695" s="78"/>
      <c r="T1695" s="83"/>
    </row>
    <row r="1696" spans="1:20" ht="15" customHeight="1" x14ac:dyDescent="0.3">
      <c r="A1696" s="73"/>
      <c r="B1696" s="74"/>
      <c r="C1696" s="75"/>
      <c r="D1696" s="76"/>
      <c r="E1696" s="77"/>
      <c r="F1696" s="78"/>
      <c r="G1696" s="78"/>
      <c r="H1696" s="79"/>
      <c r="I1696" s="80"/>
      <c r="J1696" s="77"/>
      <c r="K1696" s="81" t="b">
        <v>0</v>
      </c>
      <c r="L1696" s="78"/>
      <c r="M1696" s="82"/>
      <c r="N1696" s="78"/>
      <c r="O1696" s="78"/>
      <c r="P1696" s="78"/>
      <c r="Q1696" s="78"/>
      <c r="R1696" s="78"/>
      <c r="S1696" s="78"/>
      <c r="T1696" s="83"/>
    </row>
    <row r="1697" spans="1:20" ht="15" customHeight="1" x14ac:dyDescent="0.3">
      <c r="A1697" s="73"/>
      <c r="B1697" s="74"/>
      <c r="C1697" s="75"/>
      <c r="D1697" s="76"/>
      <c r="E1697" s="77"/>
      <c r="F1697" s="78"/>
      <c r="G1697" s="78"/>
      <c r="H1697" s="79"/>
      <c r="I1697" s="80"/>
      <c r="J1697" s="77"/>
      <c r="K1697" s="81" t="b">
        <v>0</v>
      </c>
      <c r="L1697" s="78"/>
      <c r="M1697" s="82"/>
      <c r="N1697" s="78"/>
      <c r="O1697" s="78"/>
      <c r="P1697" s="78"/>
      <c r="Q1697" s="78"/>
      <c r="R1697" s="78"/>
      <c r="S1697" s="78"/>
      <c r="T1697" s="83"/>
    </row>
    <row r="1698" spans="1:20" ht="15" customHeight="1" x14ac:dyDescent="0.3">
      <c r="A1698" s="73"/>
      <c r="B1698" s="74"/>
      <c r="C1698" s="75"/>
      <c r="D1698" s="76"/>
      <c r="E1698" s="77"/>
      <c r="F1698" s="78"/>
      <c r="G1698" s="78"/>
      <c r="H1698" s="79"/>
      <c r="I1698" s="80"/>
      <c r="J1698" s="77"/>
      <c r="K1698" s="81" t="b">
        <v>0</v>
      </c>
      <c r="L1698" s="78"/>
      <c r="M1698" s="82"/>
      <c r="N1698" s="78"/>
      <c r="O1698" s="78"/>
      <c r="P1698" s="78"/>
      <c r="Q1698" s="78"/>
      <c r="R1698" s="78"/>
      <c r="S1698" s="78"/>
      <c r="T1698" s="83"/>
    </row>
    <row r="1699" spans="1:20" ht="15" customHeight="1" x14ac:dyDescent="0.3">
      <c r="A1699" s="73"/>
      <c r="B1699" s="74"/>
      <c r="C1699" s="75"/>
      <c r="D1699" s="76"/>
      <c r="E1699" s="77"/>
      <c r="F1699" s="78"/>
      <c r="G1699" s="78"/>
      <c r="H1699" s="79"/>
      <c r="I1699" s="80"/>
      <c r="J1699" s="77"/>
      <c r="K1699" s="81" t="b">
        <v>0</v>
      </c>
      <c r="L1699" s="78"/>
      <c r="M1699" s="82"/>
      <c r="N1699" s="78"/>
      <c r="O1699" s="78"/>
      <c r="P1699" s="78"/>
      <c r="Q1699" s="78"/>
      <c r="R1699" s="78"/>
      <c r="S1699" s="78"/>
      <c r="T1699" s="83"/>
    </row>
    <row r="1700" spans="1:20" ht="15" customHeight="1" x14ac:dyDescent="0.3">
      <c r="A1700" s="73"/>
      <c r="B1700" s="74"/>
      <c r="C1700" s="75"/>
      <c r="D1700" s="76"/>
      <c r="E1700" s="77"/>
      <c r="F1700" s="78"/>
      <c r="G1700" s="78"/>
      <c r="H1700" s="79"/>
      <c r="I1700" s="80"/>
      <c r="J1700" s="77"/>
      <c r="K1700" s="81" t="b">
        <v>0</v>
      </c>
      <c r="L1700" s="78"/>
      <c r="M1700" s="82"/>
      <c r="N1700" s="78"/>
      <c r="O1700" s="78"/>
      <c r="P1700" s="78"/>
      <c r="Q1700" s="78"/>
      <c r="R1700" s="78"/>
      <c r="S1700" s="78"/>
      <c r="T1700" s="83"/>
    </row>
    <row r="1701" spans="1:20" ht="15" customHeight="1" x14ac:dyDescent="0.3">
      <c r="A1701" s="73"/>
      <c r="B1701" s="74"/>
      <c r="C1701" s="75"/>
      <c r="D1701" s="76"/>
      <c r="E1701" s="77"/>
      <c r="F1701" s="78"/>
      <c r="G1701" s="78"/>
      <c r="H1701" s="79"/>
      <c r="I1701" s="80"/>
      <c r="J1701" s="77"/>
      <c r="K1701" s="81" t="b">
        <v>0</v>
      </c>
      <c r="L1701" s="78"/>
      <c r="M1701" s="82"/>
      <c r="N1701" s="78"/>
      <c r="O1701" s="78"/>
      <c r="P1701" s="78"/>
      <c r="Q1701" s="78"/>
      <c r="R1701" s="78"/>
      <c r="S1701" s="78"/>
      <c r="T1701" s="83"/>
    </row>
    <row r="1702" spans="1:20" ht="15" customHeight="1" x14ac:dyDescent="0.3">
      <c r="A1702" s="73"/>
      <c r="B1702" s="74"/>
      <c r="C1702" s="75"/>
      <c r="D1702" s="76"/>
      <c r="E1702" s="77"/>
      <c r="F1702" s="78"/>
      <c r="G1702" s="78"/>
      <c r="H1702" s="79"/>
      <c r="I1702" s="80"/>
      <c r="J1702" s="77"/>
      <c r="K1702" s="81" t="b">
        <v>0</v>
      </c>
      <c r="L1702" s="78"/>
      <c r="M1702" s="82"/>
      <c r="N1702" s="78"/>
      <c r="O1702" s="78"/>
      <c r="P1702" s="78"/>
      <c r="Q1702" s="78"/>
      <c r="R1702" s="78"/>
      <c r="S1702" s="78"/>
      <c r="T1702" s="83"/>
    </row>
    <row r="1703" spans="1:20" ht="15" customHeight="1" x14ac:dyDescent="0.3">
      <c r="A1703" s="73"/>
      <c r="B1703" s="74"/>
      <c r="C1703" s="75"/>
      <c r="D1703" s="76"/>
      <c r="E1703" s="77"/>
      <c r="F1703" s="78"/>
      <c r="G1703" s="78"/>
      <c r="H1703" s="79"/>
      <c r="I1703" s="80"/>
      <c r="J1703" s="77"/>
      <c r="K1703" s="81" t="b">
        <v>0</v>
      </c>
      <c r="L1703" s="78"/>
      <c r="M1703" s="82"/>
      <c r="N1703" s="78"/>
      <c r="O1703" s="78"/>
      <c r="P1703" s="78"/>
      <c r="Q1703" s="78"/>
      <c r="R1703" s="78"/>
      <c r="S1703" s="78"/>
      <c r="T1703" s="83"/>
    </row>
    <row r="1704" spans="1:20" ht="15" customHeight="1" x14ac:dyDescent="0.3">
      <c r="A1704" s="73"/>
      <c r="B1704" s="74"/>
      <c r="C1704" s="75"/>
      <c r="D1704" s="76"/>
      <c r="E1704" s="77"/>
      <c r="F1704" s="78"/>
      <c r="G1704" s="78"/>
      <c r="H1704" s="79"/>
      <c r="I1704" s="80"/>
      <c r="J1704" s="77"/>
      <c r="K1704" s="81" t="b">
        <v>0</v>
      </c>
      <c r="L1704" s="78"/>
      <c r="M1704" s="82"/>
      <c r="N1704" s="78"/>
      <c r="O1704" s="78"/>
      <c r="P1704" s="78"/>
      <c r="Q1704" s="78"/>
      <c r="R1704" s="78"/>
      <c r="S1704" s="78"/>
      <c r="T1704" s="83"/>
    </row>
    <row r="1705" spans="1:20" ht="15" customHeight="1" x14ac:dyDescent="0.3">
      <c r="A1705" s="73"/>
      <c r="B1705" s="74"/>
      <c r="C1705" s="75"/>
      <c r="D1705" s="76"/>
      <c r="E1705" s="77"/>
      <c r="F1705" s="78"/>
      <c r="G1705" s="78"/>
      <c r="H1705" s="79"/>
      <c r="I1705" s="80"/>
      <c r="J1705" s="77"/>
      <c r="K1705" s="81" t="b">
        <v>0</v>
      </c>
      <c r="L1705" s="78"/>
      <c r="M1705" s="82"/>
      <c r="N1705" s="78"/>
      <c r="O1705" s="78"/>
      <c r="P1705" s="78"/>
      <c r="Q1705" s="78"/>
      <c r="R1705" s="78"/>
      <c r="S1705" s="78"/>
      <c r="T1705" s="83"/>
    </row>
    <row r="1706" spans="1:20" ht="15" customHeight="1" x14ac:dyDescent="0.3">
      <c r="A1706" s="73"/>
      <c r="B1706" s="74"/>
      <c r="C1706" s="75"/>
      <c r="D1706" s="76"/>
      <c r="E1706" s="77"/>
      <c r="F1706" s="78"/>
      <c r="G1706" s="78"/>
      <c r="H1706" s="79"/>
      <c r="I1706" s="80"/>
      <c r="J1706" s="77"/>
      <c r="K1706" s="81" t="b">
        <v>0</v>
      </c>
      <c r="L1706" s="78"/>
      <c r="M1706" s="82"/>
      <c r="N1706" s="78"/>
      <c r="O1706" s="78"/>
      <c r="P1706" s="78"/>
      <c r="Q1706" s="78"/>
      <c r="R1706" s="78"/>
      <c r="S1706" s="78"/>
      <c r="T1706" s="83"/>
    </row>
    <row r="1707" spans="1:20" ht="15" customHeight="1" x14ac:dyDescent="0.3">
      <c r="A1707" s="73"/>
      <c r="B1707" s="74"/>
      <c r="C1707" s="75"/>
      <c r="D1707" s="76"/>
      <c r="E1707" s="77"/>
      <c r="F1707" s="78"/>
      <c r="G1707" s="78"/>
      <c r="H1707" s="79"/>
      <c r="I1707" s="80"/>
      <c r="J1707" s="77"/>
      <c r="K1707" s="81" t="b">
        <v>0</v>
      </c>
      <c r="L1707" s="78"/>
      <c r="M1707" s="82"/>
      <c r="N1707" s="78"/>
      <c r="O1707" s="78"/>
      <c r="P1707" s="78"/>
      <c r="Q1707" s="78"/>
      <c r="R1707" s="78"/>
      <c r="S1707" s="78"/>
      <c r="T1707" s="83"/>
    </row>
    <row r="1708" spans="1:20" ht="15" customHeight="1" x14ac:dyDescent="0.3">
      <c r="A1708" s="73"/>
      <c r="B1708" s="74"/>
      <c r="C1708" s="75"/>
      <c r="D1708" s="76"/>
      <c r="E1708" s="77"/>
      <c r="F1708" s="78"/>
      <c r="G1708" s="78"/>
      <c r="H1708" s="79"/>
      <c r="I1708" s="80"/>
      <c r="J1708" s="77"/>
      <c r="K1708" s="81" t="b">
        <v>0</v>
      </c>
      <c r="L1708" s="78"/>
      <c r="M1708" s="82"/>
      <c r="N1708" s="78"/>
      <c r="O1708" s="78"/>
      <c r="P1708" s="78"/>
      <c r="Q1708" s="78"/>
      <c r="R1708" s="78"/>
      <c r="S1708" s="78"/>
      <c r="T1708" s="83"/>
    </row>
    <row r="1709" spans="1:20" ht="15" customHeight="1" x14ac:dyDescent="0.3">
      <c r="A1709" s="73"/>
      <c r="B1709" s="74"/>
      <c r="C1709" s="75"/>
      <c r="D1709" s="76"/>
      <c r="E1709" s="77"/>
      <c r="F1709" s="78"/>
      <c r="G1709" s="78"/>
      <c r="H1709" s="79"/>
      <c r="I1709" s="80"/>
      <c r="J1709" s="77"/>
      <c r="K1709" s="81" t="b">
        <v>0</v>
      </c>
      <c r="L1709" s="78"/>
      <c r="M1709" s="82"/>
      <c r="N1709" s="78"/>
      <c r="O1709" s="78"/>
      <c r="P1709" s="78"/>
      <c r="Q1709" s="78"/>
      <c r="R1709" s="78"/>
      <c r="S1709" s="78"/>
      <c r="T1709" s="83"/>
    </row>
    <row r="1710" spans="1:20" ht="15" customHeight="1" x14ac:dyDescent="0.3">
      <c r="A1710" s="73"/>
      <c r="B1710" s="74"/>
      <c r="C1710" s="75"/>
      <c r="D1710" s="76"/>
      <c r="E1710" s="77"/>
      <c r="F1710" s="78"/>
      <c r="G1710" s="78"/>
      <c r="H1710" s="79"/>
      <c r="I1710" s="80"/>
      <c r="J1710" s="77"/>
      <c r="K1710" s="81" t="b">
        <v>0</v>
      </c>
      <c r="L1710" s="78"/>
      <c r="M1710" s="82"/>
      <c r="N1710" s="78"/>
      <c r="O1710" s="78"/>
      <c r="P1710" s="78"/>
      <c r="Q1710" s="78"/>
      <c r="R1710" s="78"/>
      <c r="S1710" s="78"/>
      <c r="T1710" s="83"/>
    </row>
    <row r="1711" spans="1:20" ht="15" customHeight="1" x14ac:dyDescent="0.3">
      <c r="A1711" s="73"/>
      <c r="B1711" s="74"/>
      <c r="C1711" s="75"/>
      <c r="D1711" s="76"/>
      <c r="E1711" s="77"/>
      <c r="F1711" s="78"/>
      <c r="G1711" s="78"/>
      <c r="H1711" s="79"/>
      <c r="I1711" s="80"/>
      <c r="J1711" s="77"/>
      <c r="K1711" s="81" t="b">
        <v>0</v>
      </c>
      <c r="L1711" s="78"/>
      <c r="M1711" s="82"/>
      <c r="N1711" s="78"/>
      <c r="O1711" s="78"/>
      <c r="P1711" s="78"/>
      <c r="Q1711" s="78"/>
      <c r="R1711" s="78"/>
      <c r="S1711" s="78"/>
      <c r="T1711" s="83"/>
    </row>
    <row r="1712" spans="1:20" ht="15" customHeight="1" x14ac:dyDescent="0.3">
      <c r="A1712" s="73"/>
      <c r="B1712" s="74"/>
      <c r="C1712" s="75"/>
      <c r="D1712" s="76"/>
      <c r="E1712" s="77"/>
      <c r="F1712" s="78"/>
      <c r="G1712" s="78"/>
      <c r="H1712" s="79"/>
      <c r="I1712" s="80"/>
      <c r="J1712" s="77"/>
      <c r="K1712" s="81" t="b">
        <v>0</v>
      </c>
      <c r="L1712" s="78"/>
      <c r="M1712" s="82"/>
      <c r="N1712" s="78"/>
      <c r="O1712" s="78"/>
      <c r="P1712" s="78"/>
      <c r="Q1712" s="78"/>
      <c r="R1712" s="78"/>
      <c r="S1712" s="78"/>
      <c r="T1712" s="83"/>
    </row>
    <row r="1713" spans="1:20" ht="15" customHeight="1" x14ac:dyDescent="0.3">
      <c r="A1713" s="73"/>
      <c r="B1713" s="74"/>
      <c r="C1713" s="75"/>
      <c r="D1713" s="76"/>
      <c r="E1713" s="77"/>
      <c r="F1713" s="78"/>
      <c r="G1713" s="78"/>
      <c r="H1713" s="79"/>
      <c r="I1713" s="80"/>
      <c r="J1713" s="77"/>
      <c r="K1713" s="81" t="b">
        <v>0</v>
      </c>
      <c r="L1713" s="78"/>
      <c r="M1713" s="82"/>
      <c r="N1713" s="78"/>
      <c r="O1713" s="78"/>
      <c r="P1713" s="78"/>
      <c r="Q1713" s="78"/>
      <c r="R1713" s="78"/>
      <c r="S1713" s="78"/>
      <c r="T1713" s="83"/>
    </row>
    <row r="1714" spans="1:20" ht="15" customHeight="1" x14ac:dyDescent="0.3">
      <c r="A1714" s="73"/>
      <c r="B1714" s="74"/>
      <c r="C1714" s="75"/>
      <c r="D1714" s="76"/>
      <c r="E1714" s="77"/>
      <c r="F1714" s="78"/>
      <c r="G1714" s="78"/>
      <c r="H1714" s="79"/>
      <c r="I1714" s="80"/>
      <c r="J1714" s="77"/>
      <c r="K1714" s="81" t="b">
        <v>0</v>
      </c>
      <c r="L1714" s="78"/>
      <c r="M1714" s="82"/>
      <c r="N1714" s="78"/>
      <c r="O1714" s="78"/>
      <c r="P1714" s="78"/>
      <c r="Q1714" s="78"/>
      <c r="R1714" s="78"/>
      <c r="S1714" s="78"/>
      <c r="T1714" s="83"/>
    </row>
    <row r="1715" spans="1:20" ht="15" customHeight="1" x14ac:dyDescent="0.3">
      <c r="A1715" s="73"/>
      <c r="B1715" s="74"/>
      <c r="C1715" s="75"/>
      <c r="D1715" s="76"/>
      <c r="E1715" s="77"/>
      <c r="F1715" s="78"/>
      <c r="G1715" s="78"/>
      <c r="H1715" s="79"/>
      <c r="I1715" s="80"/>
      <c r="J1715" s="77"/>
      <c r="K1715" s="81" t="b">
        <v>0</v>
      </c>
      <c r="L1715" s="78"/>
      <c r="M1715" s="82"/>
      <c r="N1715" s="78"/>
      <c r="O1715" s="78"/>
      <c r="P1715" s="78"/>
      <c r="Q1715" s="78"/>
      <c r="R1715" s="78"/>
      <c r="S1715" s="78"/>
      <c r="T1715" s="83"/>
    </row>
    <row r="1716" spans="1:20" ht="15" customHeight="1" x14ac:dyDescent="0.3">
      <c r="A1716" s="73"/>
      <c r="B1716" s="74"/>
      <c r="C1716" s="75"/>
      <c r="D1716" s="76"/>
      <c r="E1716" s="77"/>
      <c r="F1716" s="78"/>
      <c r="G1716" s="78"/>
      <c r="H1716" s="79"/>
      <c r="I1716" s="80"/>
      <c r="J1716" s="77"/>
      <c r="K1716" s="81" t="b">
        <v>0</v>
      </c>
      <c r="L1716" s="78"/>
      <c r="M1716" s="82"/>
      <c r="N1716" s="78"/>
      <c r="O1716" s="78"/>
      <c r="P1716" s="78"/>
      <c r="Q1716" s="78"/>
      <c r="R1716" s="78"/>
      <c r="S1716" s="78"/>
      <c r="T1716" s="83"/>
    </row>
    <row r="1717" spans="1:20" ht="15" customHeight="1" x14ac:dyDescent="0.3">
      <c r="A1717" s="73"/>
      <c r="B1717" s="74"/>
      <c r="C1717" s="75"/>
      <c r="D1717" s="76"/>
      <c r="E1717" s="77"/>
      <c r="F1717" s="78"/>
      <c r="G1717" s="78"/>
      <c r="H1717" s="79"/>
      <c r="I1717" s="80"/>
      <c r="J1717" s="77"/>
      <c r="K1717" s="81" t="b">
        <v>0</v>
      </c>
      <c r="L1717" s="78"/>
      <c r="M1717" s="82"/>
      <c r="N1717" s="78"/>
      <c r="O1717" s="78"/>
      <c r="P1717" s="78"/>
      <c r="Q1717" s="78"/>
      <c r="R1717" s="78"/>
      <c r="S1717" s="78"/>
      <c r="T1717" s="83"/>
    </row>
    <row r="1718" spans="1:20" ht="15" customHeight="1" x14ac:dyDescent="0.3">
      <c r="A1718" s="73"/>
      <c r="B1718" s="74"/>
      <c r="C1718" s="75"/>
      <c r="D1718" s="76"/>
      <c r="E1718" s="77"/>
      <c r="F1718" s="78"/>
      <c r="G1718" s="78"/>
      <c r="H1718" s="79"/>
      <c r="I1718" s="80"/>
      <c r="J1718" s="77"/>
      <c r="K1718" s="81" t="b">
        <v>0</v>
      </c>
      <c r="L1718" s="78"/>
      <c r="M1718" s="82"/>
      <c r="N1718" s="78"/>
      <c r="O1718" s="78"/>
      <c r="P1718" s="78"/>
      <c r="Q1718" s="78"/>
      <c r="R1718" s="78"/>
      <c r="S1718" s="78"/>
      <c r="T1718" s="83"/>
    </row>
    <row r="1719" spans="1:20" ht="15" customHeight="1" x14ac:dyDescent="0.3">
      <c r="A1719" s="73"/>
      <c r="B1719" s="74"/>
      <c r="C1719" s="75"/>
      <c r="D1719" s="76"/>
      <c r="E1719" s="77"/>
      <c r="F1719" s="78"/>
      <c r="G1719" s="78"/>
      <c r="H1719" s="79"/>
      <c r="I1719" s="80"/>
      <c r="J1719" s="77"/>
      <c r="K1719" s="81" t="b">
        <v>0</v>
      </c>
      <c r="L1719" s="78"/>
      <c r="M1719" s="82"/>
      <c r="N1719" s="78"/>
      <c r="O1719" s="78"/>
      <c r="P1719" s="78"/>
      <c r="Q1719" s="78"/>
      <c r="R1719" s="78"/>
      <c r="S1719" s="78"/>
      <c r="T1719" s="83"/>
    </row>
    <row r="1720" spans="1:20" ht="15" customHeight="1" x14ac:dyDescent="0.3">
      <c r="A1720" s="73"/>
      <c r="B1720" s="74"/>
      <c r="C1720" s="75"/>
      <c r="D1720" s="76"/>
      <c r="E1720" s="77"/>
      <c r="F1720" s="78"/>
      <c r="G1720" s="78"/>
      <c r="H1720" s="79"/>
      <c r="I1720" s="80"/>
      <c r="J1720" s="77"/>
      <c r="K1720" s="81" t="b">
        <v>0</v>
      </c>
      <c r="L1720" s="78"/>
      <c r="M1720" s="82"/>
      <c r="N1720" s="78"/>
      <c r="O1720" s="78"/>
      <c r="P1720" s="78"/>
      <c r="Q1720" s="78"/>
      <c r="R1720" s="78"/>
      <c r="S1720" s="78"/>
      <c r="T1720" s="83"/>
    </row>
    <row r="1721" spans="1:20" ht="15" customHeight="1" x14ac:dyDescent="0.3">
      <c r="A1721" s="73"/>
      <c r="B1721" s="74"/>
      <c r="C1721" s="75"/>
      <c r="D1721" s="76"/>
      <c r="E1721" s="77"/>
      <c r="F1721" s="78"/>
      <c r="G1721" s="78"/>
      <c r="H1721" s="79"/>
      <c r="I1721" s="80"/>
      <c r="J1721" s="77"/>
      <c r="K1721" s="81" t="b">
        <v>0</v>
      </c>
      <c r="L1721" s="78"/>
      <c r="M1721" s="82"/>
      <c r="N1721" s="78"/>
      <c r="O1721" s="78"/>
      <c r="P1721" s="78"/>
      <c r="Q1721" s="78"/>
      <c r="R1721" s="78"/>
      <c r="S1721" s="78"/>
      <c r="T1721" s="83"/>
    </row>
    <row r="1722" spans="1:20" ht="15" customHeight="1" x14ac:dyDescent="0.3">
      <c r="A1722" s="73"/>
      <c r="B1722" s="74"/>
      <c r="C1722" s="75"/>
      <c r="D1722" s="76"/>
      <c r="E1722" s="77"/>
      <c r="F1722" s="78"/>
      <c r="G1722" s="78"/>
      <c r="H1722" s="79"/>
      <c r="I1722" s="80"/>
      <c r="J1722" s="77"/>
      <c r="K1722" s="81" t="b">
        <v>0</v>
      </c>
      <c r="L1722" s="78"/>
      <c r="M1722" s="82"/>
      <c r="N1722" s="78"/>
      <c r="O1722" s="78"/>
      <c r="P1722" s="78"/>
      <c r="Q1722" s="78"/>
      <c r="R1722" s="78"/>
      <c r="S1722" s="78"/>
      <c r="T1722" s="83"/>
    </row>
    <row r="1723" spans="1:20" ht="15" customHeight="1" x14ac:dyDescent="0.3">
      <c r="A1723" s="73"/>
      <c r="B1723" s="74"/>
      <c r="C1723" s="75"/>
      <c r="D1723" s="76"/>
      <c r="E1723" s="77"/>
      <c r="F1723" s="78"/>
      <c r="G1723" s="78"/>
      <c r="H1723" s="79"/>
      <c r="I1723" s="80"/>
      <c r="J1723" s="77"/>
      <c r="K1723" s="81" t="b">
        <v>0</v>
      </c>
      <c r="L1723" s="78"/>
      <c r="M1723" s="82"/>
      <c r="N1723" s="78"/>
      <c r="O1723" s="78"/>
      <c r="P1723" s="78"/>
      <c r="Q1723" s="78"/>
      <c r="R1723" s="78"/>
      <c r="S1723" s="78"/>
      <c r="T1723" s="83"/>
    </row>
    <row r="1724" spans="1:20" ht="15" customHeight="1" x14ac:dyDescent="0.3">
      <c r="A1724" s="73"/>
      <c r="B1724" s="74"/>
      <c r="C1724" s="75"/>
      <c r="D1724" s="76"/>
      <c r="E1724" s="77"/>
      <c r="F1724" s="78"/>
      <c r="G1724" s="78"/>
      <c r="H1724" s="79"/>
      <c r="I1724" s="80"/>
      <c r="J1724" s="77"/>
      <c r="K1724" s="81" t="b">
        <v>0</v>
      </c>
      <c r="L1724" s="78"/>
      <c r="M1724" s="82"/>
      <c r="N1724" s="78"/>
      <c r="O1724" s="78"/>
      <c r="P1724" s="78"/>
      <c r="Q1724" s="78"/>
      <c r="R1724" s="78"/>
      <c r="S1724" s="78"/>
      <c r="T1724" s="83"/>
    </row>
    <row r="1725" spans="1:20" ht="15" customHeight="1" x14ac:dyDescent="0.3">
      <c r="A1725" s="73"/>
      <c r="B1725" s="74"/>
      <c r="C1725" s="75"/>
      <c r="D1725" s="76"/>
      <c r="E1725" s="77"/>
      <c r="F1725" s="78"/>
      <c r="G1725" s="78"/>
      <c r="H1725" s="79"/>
      <c r="I1725" s="80"/>
      <c r="J1725" s="77"/>
      <c r="K1725" s="81" t="b">
        <v>0</v>
      </c>
      <c r="L1725" s="78"/>
      <c r="M1725" s="82"/>
      <c r="N1725" s="78"/>
      <c r="O1725" s="78"/>
      <c r="P1725" s="78"/>
      <c r="Q1725" s="78"/>
      <c r="R1725" s="78"/>
      <c r="S1725" s="78"/>
      <c r="T1725" s="83"/>
    </row>
    <row r="1726" spans="1:20" ht="15" customHeight="1" x14ac:dyDescent="0.3">
      <c r="A1726" s="73"/>
      <c r="B1726" s="74"/>
      <c r="C1726" s="75"/>
      <c r="D1726" s="76"/>
      <c r="E1726" s="77"/>
      <c r="F1726" s="78"/>
      <c r="G1726" s="78"/>
      <c r="H1726" s="79"/>
      <c r="I1726" s="80"/>
      <c r="J1726" s="77"/>
      <c r="K1726" s="81" t="b">
        <v>0</v>
      </c>
      <c r="L1726" s="78"/>
      <c r="M1726" s="82"/>
      <c r="N1726" s="78"/>
      <c r="O1726" s="78"/>
      <c r="P1726" s="78"/>
      <c r="Q1726" s="78"/>
      <c r="R1726" s="78"/>
      <c r="S1726" s="78"/>
      <c r="T1726" s="83"/>
    </row>
    <row r="1727" spans="1:20" ht="15" customHeight="1" x14ac:dyDescent="0.3">
      <c r="A1727" s="73"/>
      <c r="B1727" s="74"/>
      <c r="C1727" s="75"/>
      <c r="D1727" s="76"/>
      <c r="E1727" s="77"/>
      <c r="F1727" s="78"/>
      <c r="G1727" s="78"/>
      <c r="H1727" s="79"/>
      <c r="I1727" s="80"/>
      <c r="J1727" s="77"/>
      <c r="K1727" s="81" t="b">
        <v>0</v>
      </c>
      <c r="L1727" s="78"/>
      <c r="M1727" s="82"/>
      <c r="N1727" s="78"/>
      <c r="O1727" s="78"/>
      <c r="P1727" s="78"/>
      <c r="Q1727" s="78"/>
      <c r="R1727" s="78"/>
      <c r="S1727" s="78"/>
      <c r="T1727" s="83"/>
    </row>
    <row r="1728" spans="1:20" ht="15" customHeight="1" x14ac:dyDescent="0.3">
      <c r="A1728" s="73"/>
      <c r="B1728" s="74"/>
      <c r="C1728" s="75"/>
      <c r="D1728" s="76"/>
      <c r="E1728" s="77"/>
      <c r="F1728" s="78"/>
      <c r="G1728" s="78"/>
      <c r="H1728" s="79"/>
      <c r="I1728" s="80"/>
      <c r="J1728" s="77"/>
      <c r="K1728" s="81" t="b">
        <v>0</v>
      </c>
      <c r="L1728" s="78"/>
      <c r="M1728" s="82"/>
      <c r="N1728" s="78"/>
      <c r="O1728" s="78"/>
      <c r="P1728" s="78"/>
      <c r="Q1728" s="78"/>
      <c r="R1728" s="78"/>
      <c r="S1728" s="78"/>
      <c r="T1728" s="83"/>
    </row>
    <row r="1729" spans="1:20" ht="15" customHeight="1" x14ac:dyDescent="0.3">
      <c r="A1729" s="73"/>
      <c r="B1729" s="74"/>
      <c r="C1729" s="75"/>
      <c r="D1729" s="76"/>
      <c r="E1729" s="77"/>
      <c r="F1729" s="78"/>
      <c r="G1729" s="78"/>
      <c r="H1729" s="79"/>
      <c r="I1729" s="80"/>
      <c r="J1729" s="77"/>
      <c r="K1729" s="81" t="b">
        <v>0</v>
      </c>
      <c r="L1729" s="78"/>
      <c r="M1729" s="82"/>
      <c r="N1729" s="78"/>
      <c r="O1729" s="78"/>
      <c r="P1729" s="78"/>
      <c r="Q1729" s="78"/>
      <c r="R1729" s="78"/>
      <c r="S1729" s="78"/>
      <c r="T1729" s="83"/>
    </row>
    <row r="1730" spans="1:20" ht="15" customHeight="1" x14ac:dyDescent="0.3">
      <c r="A1730" s="73"/>
      <c r="B1730" s="74"/>
      <c r="C1730" s="75"/>
      <c r="D1730" s="76"/>
      <c r="E1730" s="77"/>
      <c r="F1730" s="78"/>
      <c r="G1730" s="78"/>
      <c r="H1730" s="79"/>
      <c r="I1730" s="80"/>
      <c r="J1730" s="77"/>
      <c r="K1730" s="81" t="b">
        <v>0</v>
      </c>
      <c r="L1730" s="78"/>
      <c r="M1730" s="82"/>
      <c r="N1730" s="78"/>
      <c r="O1730" s="78"/>
      <c r="P1730" s="78"/>
      <c r="Q1730" s="78"/>
      <c r="R1730" s="78"/>
      <c r="S1730" s="78"/>
      <c r="T1730" s="83"/>
    </row>
    <row r="1731" spans="1:20" ht="15" customHeight="1" x14ac:dyDescent="0.3">
      <c r="A1731" s="73"/>
      <c r="B1731" s="74"/>
      <c r="C1731" s="75"/>
      <c r="D1731" s="76"/>
      <c r="E1731" s="77"/>
      <c r="F1731" s="78"/>
      <c r="G1731" s="78"/>
      <c r="H1731" s="79"/>
      <c r="I1731" s="80"/>
      <c r="J1731" s="77"/>
      <c r="K1731" s="81" t="b">
        <v>0</v>
      </c>
      <c r="L1731" s="78"/>
      <c r="M1731" s="82"/>
      <c r="N1731" s="78"/>
      <c r="O1731" s="78"/>
      <c r="P1731" s="78"/>
      <c r="Q1731" s="78"/>
      <c r="R1731" s="78"/>
      <c r="S1731" s="78"/>
      <c r="T1731" s="83"/>
    </row>
    <row r="1732" spans="1:20" ht="15" customHeight="1" x14ac:dyDescent="0.3">
      <c r="A1732" s="73"/>
      <c r="B1732" s="74"/>
      <c r="C1732" s="75"/>
      <c r="D1732" s="76"/>
      <c r="E1732" s="77"/>
      <c r="F1732" s="78"/>
      <c r="G1732" s="78"/>
      <c r="H1732" s="79"/>
      <c r="I1732" s="80"/>
      <c r="J1732" s="77"/>
      <c r="K1732" s="81" t="b">
        <v>0</v>
      </c>
      <c r="L1732" s="78"/>
      <c r="M1732" s="82"/>
      <c r="N1732" s="78"/>
      <c r="O1732" s="78"/>
      <c r="P1732" s="78"/>
      <c r="Q1732" s="78"/>
      <c r="R1732" s="78"/>
      <c r="S1732" s="78"/>
      <c r="T1732" s="83"/>
    </row>
    <row r="1733" spans="1:20" ht="15" customHeight="1" x14ac:dyDescent="0.3">
      <c r="A1733" s="73"/>
      <c r="B1733" s="74"/>
      <c r="C1733" s="75"/>
      <c r="D1733" s="76"/>
      <c r="E1733" s="77"/>
      <c r="F1733" s="78"/>
      <c r="G1733" s="78"/>
      <c r="H1733" s="79"/>
      <c r="I1733" s="80"/>
      <c r="J1733" s="77"/>
      <c r="K1733" s="81" t="b">
        <v>0</v>
      </c>
      <c r="L1733" s="78"/>
      <c r="M1733" s="82"/>
      <c r="N1733" s="78"/>
      <c r="O1733" s="78"/>
      <c r="P1733" s="78"/>
      <c r="Q1733" s="78"/>
      <c r="R1733" s="78"/>
      <c r="S1733" s="78"/>
      <c r="T1733" s="83"/>
    </row>
    <row r="1734" spans="1:20" ht="15" customHeight="1" x14ac:dyDescent="0.3">
      <c r="A1734" s="73"/>
      <c r="B1734" s="74"/>
      <c r="C1734" s="75"/>
      <c r="D1734" s="76"/>
      <c r="E1734" s="77"/>
      <c r="F1734" s="78"/>
      <c r="G1734" s="78"/>
      <c r="H1734" s="79"/>
      <c r="I1734" s="80"/>
      <c r="J1734" s="77"/>
      <c r="K1734" s="81" t="b">
        <v>0</v>
      </c>
      <c r="L1734" s="78"/>
      <c r="M1734" s="82"/>
      <c r="N1734" s="78"/>
      <c r="O1734" s="78"/>
      <c r="P1734" s="78"/>
      <c r="Q1734" s="78"/>
      <c r="R1734" s="78"/>
      <c r="S1734" s="78"/>
      <c r="T1734" s="83"/>
    </row>
    <row r="1735" spans="1:20" ht="15" customHeight="1" x14ac:dyDescent="0.3">
      <c r="A1735" s="73"/>
      <c r="B1735" s="74"/>
      <c r="C1735" s="75"/>
      <c r="D1735" s="76"/>
      <c r="E1735" s="77"/>
      <c r="F1735" s="78"/>
      <c r="G1735" s="78"/>
      <c r="H1735" s="79"/>
      <c r="I1735" s="80"/>
      <c r="J1735" s="77"/>
      <c r="K1735" s="81" t="b">
        <v>0</v>
      </c>
      <c r="L1735" s="78"/>
      <c r="M1735" s="82"/>
      <c r="N1735" s="78"/>
      <c r="O1735" s="78"/>
      <c r="P1735" s="78"/>
      <c r="Q1735" s="78"/>
      <c r="R1735" s="78"/>
      <c r="S1735" s="78"/>
      <c r="T1735" s="83"/>
    </row>
    <row r="1736" spans="1:20" ht="15" customHeight="1" x14ac:dyDescent="0.3">
      <c r="A1736" s="73"/>
      <c r="B1736" s="74"/>
      <c r="C1736" s="75"/>
      <c r="D1736" s="76"/>
      <c r="E1736" s="77"/>
      <c r="F1736" s="78"/>
      <c r="G1736" s="78"/>
      <c r="H1736" s="79"/>
      <c r="I1736" s="80"/>
      <c r="J1736" s="77"/>
      <c r="K1736" s="81" t="b">
        <v>0</v>
      </c>
      <c r="L1736" s="78"/>
      <c r="M1736" s="82"/>
      <c r="N1736" s="78"/>
      <c r="O1736" s="78"/>
      <c r="P1736" s="78"/>
      <c r="Q1736" s="78"/>
      <c r="R1736" s="78"/>
      <c r="S1736" s="78"/>
      <c r="T1736" s="83"/>
    </row>
    <row r="1737" spans="1:20" ht="15" customHeight="1" x14ac:dyDescent="0.3">
      <c r="A1737" s="73"/>
      <c r="B1737" s="74"/>
      <c r="C1737" s="75"/>
      <c r="D1737" s="76"/>
      <c r="E1737" s="77"/>
      <c r="F1737" s="78"/>
      <c r="G1737" s="78"/>
      <c r="H1737" s="79"/>
      <c r="I1737" s="80"/>
      <c r="J1737" s="77"/>
      <c r="K1737" s="81" t="b">
        <v>0</v>
      </c>
      <c r="L1737" s="78"/>
      <c r="M1737" s="82"/>
      <c r="N1737" s="78"/>
      <c r="O1737" s="78"/>
      <c r="P1737" s="78"/>
      <c r="Q1737" s="78"/>
      <c r="R1737" s="78"/>
      <c r="S1737" s="78"/>
      <c r="T1737" s="83"/>
    </row>
    <row r="1738" spans="1:20" ht="15" customHeight="1" x14ac:dyDescent="0.3">
      <c r="A1738" s="73"/>
      <c r="B1738" s="74"/>
      <c r="C1738" s="75"/>
      <c r="D1738" s="76"/>
      <c r="E1738" s="77"/>
      <c r="F1738" s="78"/>
      <c r="G1738" s="78"/>
      <c r="H1738" s="79"/>
      <c r="I1738" s="80"/>
      <c r="J1738" s="77"/>
      <c r="K1738" s="81" t="b">
        <v>0</v>
      </c>
      <c r="L1738" s="78"/>
      <c r="M1738" s="82"/>
      <c r="N1738" s="78"/>
      <c r="O1738" s="78"/>
      <c r="P1738" s="78"/>
      <c r="Q1738" s="78"/>
      <c r="R1738" s="78"/>
      <c r="S1738" s="78"/>
      <c r="T1738" s="83"/>
    </row>
    <row r="1739" spans="1:20" ht="15" customHeight="1" x14ac:dyDescent="0.3">
      <c r="A1739" s="73"/>
      <c r="B1739" s="74"/>
      <c r="C1739" s="75"/>
      <c r="D1739" s="76"/>
      <c r="E1739" s="77"/>
      <c r="F1739" s="78"/>
      <c r="G1739" s="78"/>
      <c r="H1739" s="79"/>
      <c r="I1739" s="80"/>
      <c r="J1739" s="77"/>
      <c r="K1739" s="81" t="b">
        <v>0</v>
      </c>
      <c r="L1739" s="78"/>
      <c r="M1739" s="82"/>
      <c r="N1739" s="78"/>
      <c r="O1739" s="78"/>
      <c r="P1739" s="78"/>
      <c r="Q1739" s="78"/>
      <c r="R1739" s="78"/>
      <c r="S1739" s="78"/>
      <c r="T1739" s="83"/>
    </row>
    <row r="1740" spans="1:20" ht="15" customHeight="1" x14ac:dyDescent="0.3">
      <c r="A1740" s="73"/>
      <c r="B1740" s="74"/>
      <c r="C1740" s="75"/>
      <c r="D1740" s="76"/>
      <c r="E1740" s="77"/>
      <c r="F1740" s="78"/>
      <c r="G1740" s="78"/>
      <c r="H1740" s="79"/>
      <c r="I1740" s="80"/>
      <c r="J1740" s="77"/>
      <c r="K1740" s="81" t="b">
        <v>0</v>
      </c>
      <c r="L1740" s="78"/>
      <c r="M1740" s="82"/>
      <c r="N1740" s="78"/>
      <c r="O1740" s="78"/>
      <c r="P1740" s="78"/>
      <c r="Q1740" s="78"/>
      <c r="R1740" s="78"/>
      <c r="S1740" s="78"/>
      <c r="T1740" s="83"/>
    </row>
    <row r="1741" spans="1:20" ht="15" customHeight="1" x14ac:dyDescent="0.3">
      <c r="A1741" s="73"/>
      <c r="B1741" s="74"/>
      <c r="C1741" s="75"/>
      <c r="D1741" s="76"/>
      <c r="E1741" s="77"/>
      <c r="F1741" s="78"/>
      <c r="G1741" s="78"/>
      <c r="H1741" s="79"/>
      <c r="I1741" s="80"/>
      <c r="J1741" s="77"/>
      <c r="K1741" s="81" t="b">
        <v>0</v>
      </c>
      <c r="L1741" s="78"/>
      <c r="M1741" s="82"/>
      <c r="N1741" s="78"/>
      <c r="O1741" s="78"/>
      <c r="P1741" s="78"/>
      <c r="Q1741" s="78"/>
      <c r="R1741" s="78"/>
      <c r="S1741" s="78"/>
      <c r="T1741" s="83"/>
    </row>
    <row r="1742" spans="1:20" ht="15" customHeight="1" x14ac:dyDescent="0.3">
      <c r="A1742" s="73"/>
      <c r="B1742" s="74"/>
      <c r="C1742" s="75"/>
      <c r="D1742" s="76"/>
      <c r="E1742" s="77"/>
      <c r="F1742" s="78"/>
      <c r="G1742" s="78"/>
      <c r="H1742" s="79"/>
      <c r="I1742" s="80"/>
      <c r="J1742" s="77"/>
      <c r="K1742" s="81" t="b">
        <v>0</v>
      </c>
      <c r="L1742" s="78"/>
      <c r="M1742" s="82"/>
      <c r="N1742" s="78"/>
      <c r="O1742" s="78"/>
      <c r="P1742" s="78"/>
      <c r="Q1742" s="78"/>
      <c r="R1742" s="78"/>
      <c r="S1742" s="78"/>
      <c r="T1742" s="83"/>
    </row>
    <row r="1743" spans="1:20" ht="15" customHeight="1" x14ac:dyDescent="0.3">
      <c r="A1743" s="73"/>
      <c r="B1743" s="74"/>
      <c r="C1743" s="75"/>
      <c r="D1743" s="76"/>
      <c r="E1743" s="77"/>
      <c r="F1743" s="78"/>
      <c r="G1743" s="78"/>
      <c r="H1743" s="79"/>
      <c r="I1743" s="80"/>
      <c r="J1743" s="77"/>
      <c r="K1743" s="81" t="b">
        <v>0</v>
      </c>
      <c r="L1743" s="78"/>
      <c r="M1743" s="82"/>
      <c r="N1743" s="78"/>
      <c r="O1743" s="78"/>
      <c r="P1743" s="78"/>
      <c r="Q1743" s="78"/>
      <c r="R1743" s="78"/>
      <c r="S1743" s="78"/>
      <c r="T1743" s="83"/>
    </row>
    <row r="1744" spans="1:20" ht="15" customHeight="1" x14ac:dyDescent="0.3">
      <c r="A1744" s="73"/>
      <c r="B1744" s="74"/>
      <c r="C1744" s="75"/>
      <c r="D1744" s="76"/>
      <c r="E1744" s="77"/>
      <c r="F1744" s="78"/>
      <c r="G1744" s="78"/>
      <c r="H1744" s="79"/>
      <c r="I1744" s="80"/>
      <c r="J1744" s="77"/>
      <c r="K1744" s="81" t="b">
        <v>0</v>
      </c>
      <c r="L1744" s="78"/>
      <c r="M1744" s="82"/>
      <c r="N1744" s="78"/>
      <c r="O1744" s="78"/>
      <c r="P1744" s="78"/>
      <c r="Q1744" s="78"/>
      <c r="R1744" s="78"/>
      <c r="S1744" s="78"/>
      <c r="T1744" s="83"/>
    </row>
    <row r="1745" spans="1:20" ht="15" customHeight="1" x14ac:dyDescent="0.3">
      <c r="A1745" s="73"/>
      <c r="B1745" s="74"/>
      <c r="C1745" s="75"/>
      <c r="D1745" s="76"/>
      <c r="E1745" s="77"/>
      <c r="F1745" s="78"/>
      <c r="G1745" s="78"/>
      <c r="H1745" s="79"/>
      <c r="I1745" s="80"/>
      <c r="J1745" s="77"/>
      <c r="K1745" s="81" t="b">
        <v>0</v>
      </c>
      <c r="L1745" s="78"/>
      <c r="M1745" s="82"/>
      <c r="N1745" s="78"/>
      <c r="O1745" s="78"/>
      <c r="P1745" s="78"/>
      <c r="Q1745" s="78"/>
      <c r="R1745" s="78"/>
      <c r="S1745" s="78"/>
      <c r="T1745" s="83"/>
    </row>
    <row r="1746" spans="1:20" ht="15" customHeight="1" x14ac:dyDescent="0.3">
      <c r="A1746" s="73"/>
      <c r="B1746" s="74"/>
      <c r="C1746" s="75"/>
      <c r="D1746" s="76"/>
      <c r="E1746" s="77"/>
      <c r="F1746" s="78"/>
      <c r="G1746" s="78"/>
      <c r="H1746" s="79"/>
      <c r="I1746" s="80"/>
      <c r="J1746" s="77"/>
      <c r="K1746" s="81" t="b">
        <v>0</v>
      </c>
      <c r="L1746" s="78"/>
      <c r="M1746" s="82"/>
      <c r="N1746" s="78"/>
      <c r="O1746" s="78"/>
      <c r="P1746" s="78"/>
      <c r="Q1746" s="78"/>
      <c r="R1746" s="78"/>
      <c r="S1746" s="78"/>
      <c r="T1746" s="83"/>
    </row>
    <row r="1747" spans="1:20" ht="15" customHeight="1" x14ac:dyDescent="0.3">
      <c r="A1747" s="73"/>
      <c r="B1747" s="74"/>
      <c r="C1747" s="75"/>
      <c r="D1747" s="76"/>
      <c r="E1747" s="77"/>
      <c r="F1747" s="78"/>
      <c r="G1747" s="78"/>
      <c r="H1747" s="79"/>
      <c r="I1747" s="80"/>
      <c r="J1747" s="77"/>
      <c r="K1747" s="81" t="b">
        <v>0</v>
      </c>
      <c r="L1747" s="78"/>
      <c r="M1747" s="82"/>
      <c r="N1747" s="78"/>
      <c r="O1747" s="78"/>
      <c r="P1747" s="78"/>
      <c r="Q1747" s="78"/>
      <c r="R1747" s="78"/>
      <c r="S1747" s="78"/>
      <c r="T1747" s="83"/>
    </row>
    <row r="1748" spans="1:20" ht="15" customHeight="1" x14ac:dyDescent="0.3">
      <c r="A1748" s="73"/>
      <c r="B1748" s="74"/>
      <c r="C1748" s="75"/>
      <c r="D1748" s="76"/>
      <c r="E1748" s="77"/>
      <c r="F1748" s="78"/>
      <c r="G1748" s="78"/>
      <c r="H1748" s="79"/>
      <c r="I1748" s="80"/>
      <c r="J1748" s="77"/>
      <c r="K1748" s="81" t="b">
        <v>0</v>
      </c>
      <c r="L1748" s="78"/>
      <c r="M1748" s="82"/>
      <c r="N1748" s="78"/>
      <c r="O1748" s="78"/>
      <c r="P1748" s="78"/>
      <c r="Q1748" s="78"/>
      <c r="R1748" s="78"/>
      <c r="S1748" s="78"/>
      <c r="T1748" s="83"/>
    </row>
    <row r="1749" spans="1:20" ht="15" customHeight="1" x14ac:dyDescent="0.3">
      <c r="A1749" s="73"/>
      <c r="B1749" s="74"/>
      <c r="C1749" s="75"/>
      <c r="D1749" s="76"/>
      <c r="E1749" s="77"/>
      <c r="F1749" s="78"/>
      <c r="G1749" s="78"/>
      <c r="H1749" s="79"/>
      <c r="I1749" s="80"/>
      <c r="J1749" s="77"/>
      <c r="K1749" s="81" t="b">
        <v>0</v>
      </c>
      <c r="L1749" s="78"/>
      <c r="M1749" s="82"/>
      <c r="N1749" s="78"/>
      <c r="O1749" s="78"/>
      <c r="P1749" s="78"/>
      <c r="Q1749" s="78"/>
      <c r="R1749" s="78"/>
      <c r="S1749" s="78"/>
      <c r="T1749" s="83"/>
    </row>
    <row r="1750" spans="1:20" ht="15" customHeight="1" x14ac:dyDescent="0.3">
      <c r="A1750" s="73"/>
      <c r="B1750" s="74"/>
      <c r="C1750" s="75"/>
      <c r="D1750" s="76"/>
      <c r="E1750" s="77"/>
      <c r="F1750" s="78"/>
      <c r="G1750" s="78"/>
      <c r="H1750" s="79"/>
      <c r="I1750" s="80"/>
      <c r="J1750" s="77"/>
      <c r="K1750" s="81" t="b">
        <v>0</v>
      </c>
      <c r="L1750" s="78"/>
      <c r="M1750" s="82"/>
      <c r="N1750" s="78"/>
      <c r="O1750" s="78"/>
      <c r="P1750" s="78"/>
      <c r="Q1750" s="78"/>
      <c r="R1750" s="78"/>
      <c r="S1750" s="78"/>
      <c r="T1750" s="83"/>
    </row>
    <row r="1751" spans="1:20" ht="15" customHeight="1" x14ac:dyDescent="0.3">
      <c r="A1751" s="73"/>
      <c r="B1751" s="74"/>
      <c r="C1751" s="75"/>
      <c r="D1751" s="76"/>
      <c r="E1751" s="77"/>
      <c r="F1751" s="78"/>
      <c r="G1751" s="78"/>
      <c r="H1751" s="79"/>
      <c r="I1751" s="80"/>
      <c r="J1751" s="77"/>
      <c r="K1751" s="81" t="b">
        <v>0</v>
      </c>
      <c r="L1751" s="78"/>
      <c r="M1751" s="82"/>
      <c r="N1751" s="78"/>
      <c r="O1751" s="78"/>
      <c r="P1751" s="78"/>
      <c r="Q1751" s="78"/>
      <c r="R1751" s="78"/>
      <c r="S1751" s="78"/>
      <c r="T1751" s="83"/>
    </row>
    <row r="1752" spans="1:20" ht="15" customHeight="1" x14ac:dyDescent="0.3">
      <c r="A1752" s="73"/>
      <c r="B1752" s="74"/>
      <c r="C1752" s="75"/>
      <c r="D1752" s="76"/>
      <c r="E1752" s="77"/>
      <c r="F1752" s="78"/>
      <c r="G1752" s="78"/>
      <c r="H1752" s="79"/>
      <c r="I1752" s="80"/>
      <c r="J1752" s="77"/>
      <c r="K1752" s="81" t="b">
        <v>0</v>
      </c>
      <c r="L1752" s="78"/>
      <c r="M1752" s="82"/>
      <c r="N1752" s="78"/>
      <c r="O1752" s="78"/>
      <c r="P1752" s="78"/>
      <c r="Q1752" s="78"/>
      <c r="R1752" s="78"/>
      <c r="S1752" s="78"/>
      <c r="T1752" s="83"/>
    </row>
    <row r="1753" spans="1:20" ht="15" customHeight="1" x14ac:dyDescent="0.3">
      <c r="A1753" s="73"/>
      <c r="B1753" s="74"/>
      <c r="C1753" s="75"/>
      <c r="D1753" s="76"/>
      <c r="E1753" s="77"/>
      <c r="F1753" s="78"/>
      <c r="G1753" s="78"/>
      <c r="H1753" s="79"/>
      <c r="I1753" s="80"/>
      <c r="J1753" s="77"/>
      <c r="K1753" s="81" t="b">
        <v>0</v>
      </c>
      <c r="L1753" s="78"/>
      <c r="M1753" s="82"/>
      <c r="N1753" s="78"/>
      <c r="O1753" s="78"/>
      <c r="P1753" s="78"/>
      <c r="Q1753" s="78"/>
      <c r="R1753" s="78"/>
      <c r="S1753" s="78"/>
      <c r="T1753" s="83"/>
    </row>
    <row r="1754" spans="1:20" ht="15" customHeight="1" x14ac:dyDescent="0.3">
      <c r="A1754" s="73"/>
      <c r="B1754" s="74"/>
      <c r="C1754" s="75"/>
      <c r="D1754" s="76"/>
      <c r="E1754" s="77"/>
      <c r="F1754" s="78"/>
      <c r="G1754" s="78"/>
      <c r="H1754" s="79"/>
      <c r="I1754" s="80"/>
      <c r="J1754" s="77"/>
      <c r="K1754" s="81" t="b">
        <v>0</v>
      </c>
      <c r="L1754" s="78"/>
      <c r="M1754" s="82"/>
      <c r="N1754" s="78"/>
      <c r="O1754" s="78"/>
      <c r="P1754" s="78"/>
      <c r="Q1754" s="78"/>
      <c r="R1754" s="78"/>
      <c r="S1754" s="78"/>
      <c r="T1754" s="83"/>
    </row>
    <row r="1755" spans="1:20" ht="15" customHeight="1" x14ac:dyDescent="0.3">
      <c r="A1755" s="73"/>
      <c r="B1755" s="74"/>
      <c r="C1755" s="75"/>
      <c r="D1755" s="76"/>
      <c r="E1755" s="77"/>
      <c r="F1755" s="78"/>
      <c r="G1755" s="78"/>
      <c r="H1755" s="79"/>
      <c r="I1755" s="80"/>
      <c r="J1755" s="77"/>
      <c r="K1755" s="81" t="b">
        <v>0</v>
      </c>
      <c r="L1755" s="78"/>
      <c r="M1755" s="82"/>
      <c r="N1755" s="78"/>
      <c r="O1755" s="78"/>
      <c r="P1755" s="78"/>
      <c r="Q1755" s="78"/>
      <c r="R1755" s="78"/>
      <c r="S1755" s="78"/>
      <c r="T1755" s="83"/>
    </row>
    <row r="1756" spans="1:20" ht="15" customHeight="1" x14ac:dyDescent="0.3">
      <c r="A1756" s="73"/>
      <c r="B1756" s="74"/>
      <c r="C1756" s="75"/>
      <c r="D1756" s="76"/>
      <c r="E1756" s="77"/>
      <c r="F1756" s="78"/>
      <c r="G1756" s="78"/>
      <c r="H1756" s="79"/>
      <c r="I1756" s="80"/>
      <c r="J1756" s="77"/>
      <c r="K1756" s="81" t="b">
        <v>0</v>
      </c>
      <c r="L1756" s="78"/>
      <c r="M1756" s="82"/>
      <c r="N1756" s="78"/>
      <c r="O1756" s="78"/>
      <c r="P1756" s="78"/>
      <c r="Q1756" s="78"/>
      <c r="R1756" s="78"/>
      <c r="S1756" s="78"/>
      <c r="T1756" s="83"/>
    </row>
    <row r="1757" spans="1:20" ht="15" customHeight="1" x14ac:dyDescent="0.3">
      <c r="A1757" s="73"/>
      <c r="B1757" s="74"/>
      <c r="C1757" s="75"/>
      <c r="D1757" s="76"/>
      <c r="E1757" s="77"/>
      <c r="F1757" s="78"/>
      <c r="G1757" s="78"/>
      <c r="H1757" s="79"/>
      <c r="I1757" s="80"/>
      <c r="J1757" s="77"/>
      <c r="K1757" s="81" t="b">
        <v>0</v>
      </c>
      <c r="L1757" s="78"/>
      <c r="M1757" s="82"/>
      <c r="N1757" s="78"/>
      <c r="O1757" s="78"/>
      <c r="P1757" s="78"/>
      <c r="Q1757" s="78"/>
      <c r="R1757" s="78"/>
      <c r="S1757" s="78"/>
      <c r="T1757" s="83"/>
    </row>
    <row r="1758" spans="1:20" ht="15" customHeight="1" x14ac:dyDescent="0.3">
      <c r="A1758" s="73"/>
      <c r="B1758" s="74"/>
      <c r="C1758" s="75"/>
      <c r="D1758" s="76"/>
      <c r="E1758" s="77"/>
      <c r="F1758" s="78"/>
      <c r="G1758" s="78"/>
      <c r="H1758" s="79"/>
      <c r="I1758" s="80"/>
      <c r="J1758" s="77"/>
      <c r="K1758" s="81" t="b">
        <v>0</v>
      </c>
      <c r="L1758" s="78"/>
      <c r="M1758" s="82"/>
      <c r="N1758" s="78"/>
      <c r="O1758" s="78"/>
      <c r="P1758" s="78"/>
      <c r="Q1758" s="78"/>
      <c r="R1758" s="78"/>
      <c r="S1758" s="78"/>
      <c r="T1758" s="83"/>
    </row>
    <row r="1759" spans="1:20" ht="15" customHeight="1" x14ac:dyDescent="0.3">
      <c r="A1759" s="73"/>
      <c r="B1759" s="74"/>
      <c r="C1759" s="75"/>
      <c r="D1759" s="76"/>
      <c r="E1759" s="77"/>
      <c r="F1759" s="78"/>
      <c r="G1759" s="78"/>
      <c r="H1759" s="79"/>
      <c r="I1759" s="80"/>
      <c r="J1759" s="77"/>
      <c r="K1759" s="81" t="b">
        <v>0</v>
      </c>
      <c r="L1759" s="78"/>
      <c r="M1759" s="82"/>
      <c r="N1759" s="78"/>
      <c r="O1759" s="78"/>
      <c r="P1759" s="78"/>
      <c r="Q1759" s="78"/>
      <c r="R1759" s="78"/>
      <c r="S1759" s="78"/>
      <c r="T1759" s="83"/>
    </row>
    <row r="1760" spans="1:20" ht="15" customHeight="1" x14ac:dyDescent="0.3">
      <c r="A1760" s="73"/>
      <c r="B1760" s="74"/>
      <c r="C1760" s="75"/>
      <c r="D1760" s="76"/>
      <c r="E1760" s="77"/>
      <c r="F1760" s="78"/>
      <c r="G1760" s="78"/>
      <c r="H1760" s="79"/>
      <c r="I1760" s="80"/>
      <c r="J1760" s="77"/>
      <c r="K1760" s="81" t="b">
        <v>0</v>
      </c>
      <c r="L1760" s="78"/>
      <c r="M1760" s="82"/>
      <c r="N1760" s="78"/>
      <c r="O1760" s="78"/>
      <c r="P1760" s="78"/>
      <c r="Q1760" s="78"/>
      <c r="R1760" s="78"/>
      <c r="S1760" s="78"/>
      <c r="T1760" s="83"/>
    </row>
    <row r="1761" spans="1:20" ht="15" customHeight="1" x14ac:dyDescent="0.3">
      <c r="A1761" s="73"/>
      <c r="B1761" s="74"/>
      <c r="C1761" s="75"/>
      <c r="D1761" s="76"/>
      <c r="E1761" s="77"/>
      <c r="F1761" s="78"/>
      <c r="G1761" s="78"/>
      <c r="H1761" s="79"/>
      <c r="I1761" s="80"/>
      <c r="J1761" s="77"/>
      <c r="K1761" s="81" t="b">
        <v>0</v>
      </c>
      <c r="L1761" s="78"/>
      <c r="M1761" s="82"/>
      <c r="N1761" s="78"/>
      <c r="O1761" s="78"/>
      <c r="P1761" s="78"/>
      <c r="Q1761" s="78"/>
      <c r="R1761" s="78"/>
      <c r="S1761" s="78"/>
      <c r="T1761" s="83"/>
    </row>
    <row r="1762" spans="1:20" ht="15" customHeight="1" x14ac:dyDescent="0.3">
      <c r="A1762" s="73"/>
      <c r="B1762" s="74"/>
      <c r="C1762" s="75"/>
      <c r="D1762" s="76"/>
      <c r="E1762" s="77"/>
      <c r="F1762" s="78"/>
      <c r="G1762" s="78"/>
      <c r="H1762" s="79"/>
      <c r="I1762" s="80"/>
      <c r="J1762" s="77"/>
      <c r="K1762" s="81" t="b">
        <v>0</v>
      </c>
      <c r="L1762" s="78"/>
      <c r="M1762" s="82"/>
      <c r="N1762" s="78"/>
      <c r="O1762" s="78"/>
      <c r="P1762" s="78"/>
      <c r="Q1762" s="78"/>
      <c r="R1762" s="78"/>
      <c r="S1762" s="78"/>
      <c r="T1762" s="83"/>
    </row>
    <row r="1763" spans="1:20" ht="15" customHeight="1" x14ac:dyDescent="0.3">
      <c r="A1763" s="73"/>
      <c r="B1763" s="74"/>
      <c r="C1763" s="75"/>
      <c r="D1763" s="76"/>
      <c r="E1763" s="77"/>
      <c r="F1763" s="78"/>
      <c r="G1763" s="78"/>
      <c r="H1763" s="79"/>
      <c r="I1763" s="80"/>
      <c r="J1763" s="77"/>
      <c r="K1763" s="81" t="b">
        <v>0</v>
      </c>
      <c r="L1763" s="78"/>
      <c r="M1763" s="82"/>
      <c r="N1763" s="78"/>
      <c r="O1763" s="78"/>
      <c r="P1763" s="78"/>
      <c r="Q1763" s="78"/>
      <c r="R1763" s="78"/>
      <c r="S1763" s="78"/>
      <c r="T1763" s="83"/>
    </row>
    <row r="1764" spans="1:20" ht="15" customHeight="1" x14ac:dyDescent="0.3">
      <c r="A1764" s="73"/>
      <c r="B1764" s="74"/>
      <c r="C1764" s="75"/>
      <c r="D1764" s="76"/>
      <c r="E1764" s="77"/>
      <c r="F1764" s="78"/>
      <c r="G1764" s="78"/>
      <c r="H1764" s="79"/>
      <c r="I1764" s="80"/>
      <c r="J1764" s="77"/>
      <c r="K1764" s="81" t="b">
        <v>0</v>
      </c>
      <c r="L1764" s="78"/>
      <c r="M1764" s="82"/>
      <c r="N1764" s="78"/>
      <c r="O1764" s="78"/>
      <c r="P1764" s="78"/>
      <c r="Q1764" s="78"/>
      <c r="R1764" s="78"/>
      <c r="S1764" s="78"/>
      <c r="T1764" s="83"/>
    </row>
    <row r="1765" spans="1:20" ht="15" customHeight="1" x14ac:dyDescent="0.3">
      <c r="A1765" s="73"/>
      <c r="B1765" s="74"/>
      <c r="C1765" s="75"/>
      <c r="D1765" s="76"/>
      <c r="E1765" s="77"/>
      <c r="F1765" s="78"/>
      <c r="G1765" s="78"/>
      <c r="H1765" s="79"/>
      <c r="I1765" s="80"/>
      <c r="J1765" s="77"/>
      <c r="K1765" s="81" t="b">
        <v>0</v>
      </c>
      <c r="L1765" s="78"/>
      <c r="M1765" s="82"/>
      <c r="N1765" s="78"/>
      <c r="O1765" s="78"/>
      <c r="P1765" s="78"/>
      <c r="Q1765" s="78"/>
      <c r="R1765" s="78"/>
      <c r="S1765" s="78"/>
      <c r="T1765" s="83"/>
    </row>
    <row r="1766" spans="1:20" ht="15" customHeight="1" x14ac:dyDescent="0.3">
      <c r="A1766" s="73"/>
      <c r="B1766" s="74"/>
      <c r="C1766" s="75"/>
      <c r="D1766" s="76"/>
      <c r="E1766" s="77"/>
      <c r="F1766" s="78"/>
      <c r="G1766" s="78"/>
      <c r="H1766" s="79"/>
      <c r="I1766" s="80"/>
      <c r="J1766" s="77"/>
      <c r="K1766" s="81" t="b">
        <v>0</v>
      </c>
      <c r="L1766" s="78"/>
      <c r="M1766" s="82"/>
      <c r="N1766" s="78"/>
      <c r="O1766" s="78"/>
      <c r="P1766" s="78"/>
      <c r="Q1766" s="78"/>
      <c r="R1766" s="78"/>
      <c r="S1766" s="78"/>
      <c r="T1766" s="83"/>
    </row>
    <row r="1767" spans="1:20" ht="15" customHeight="1" x14ac:dyDescent="0.3">
      <c r="A1767" s="73"/>
      <c r="B1767" s="74"/>
      <c r="C1767" s="75"/>
      <c r="D1767" s="76"/>
      <c r="E1767" s="77"/>
      <c r="F1767" s="78"/>
      <c r="G1767" s="78"/>
      <c r="H1767" s="79"/>
      <c r="I1767" s="80"/>
      <c r="J1767" s="77"/>
      <c r="K1767" s="81" t="b">
        <v>0</v>
      </c>
      <c r="L1767" s="78"/>
      <c r="M1767" s="82"/>
      <c r="N1767" s="78"/>
      <c r="O1767" s="78"/>
      <c r="P1767" s="78"/>
      <c r="Q1767" s="78"/>
      <c r="R1767" s="78"/>
      <c r="S1767" s="78"/>
      <c r="T1767" s="83"/>
    </row>
    <row r="1768" spans="1:20" ht="15" customHeight="1" x14ac:dyDescent="0.3">
      <c r="A1768" s="73"/>
      <c r="B1768" s="74"/>
      <c r="C1768" s="75"/>
      <c r="D1768" s="76"/>
      <c r="E1768" s="77"/>
      <c r="F1768" s="78"/>
      <c r="G1768" s="78"/>
      <c r="H1768" s="79"/>
      <c r="I1768" s="80"/>
      <c r="J1768" s="77"/>
      <c r="K1768" s="81" t="b">
        <v>0</v>
      </c>
      <c r="L1768" s="78"/>
      <c r="M1768" s="82"/>
      <c r="N1768" s="78"/>
      <c r="O1768" s="78"/>
      <c r="P1768" s="78"/>
      <c r="Q1768" s="78"/>
      <c r="R1768" s="78"/>
      <c r="S1768" s="78"/>
      <c r="T1768" s="83"/>
    </row>
    <row r="1769" spans="1:20" ht="15" customHeight="1" x14ac:dyDescent="0.3">
      <c r="A1769" s="73"/>
      <c r="B1769" s="74"/>
      <c r="C1769" s="75"/>
      <c r="D1769" s="76"/>
      <c r="E1769" s="77"/>
      <c r="F1769" s="78"/>
      <c r="G1769" s="78"/>
      <c r="H1769" s="79"/>
      <c r="I1769" s="80"/>
      <c r="J1769" s="77"/>
      <c r="K1769" s="81" t="b">
        <v>0</v>
      </c>
      <c r="L1769" s="78"/>
      <c r="M1769" s="82"/>
      <c r="N1769" s="78"/>
      <c r="O1769" s="78"/>
      <c r="P1769" s="78"/>
      <c r="Q1769" s="78"/>
      <c r="R1769" s="78"/>
      <c r="S1769" s="78"/>
      <c r="T1769" s="83"/>
    </row>
    <row r="1770" spans="1:20" ht="15" customHeight="1" x14ac:dyDescent="0.3">
      <c r="A1770" s="73"/>
      <c r="B1770" s="74"/>
      <c r="C1770" s="75"/>
      <c r="D1770" s="76"/>
      <c r="E1770" s="77"/>
      <c r="F1770" s="78"/>
      <c r="G1770" s="78"/>
      <c r="H1770" s="79"/>
      <c r="I1770" s="80"/>
      <c r="J1770" s="77"/>
      <c r="K1770" s="81" t="b">
        <v>0</v>
      </c>
      <c r="L1770" s="78"/>
      <c r="M1770" s="82"/>
      <c r="N1770" s="78"/>
      <c r="O1770" s="78"/>
      <c r="P1770" s="78"/>
      <c r="Q1770" s="78"/>
      <c r="R1770" s="78"/>
      <c r="S1770" s="78"/>
      <c r="T1770" s="83"/>
    </row>
    <row r="1771" spans="1:20" ht="15" customHeight="1" x14ac:dyDescent="0.3">
      <c r="A1771" s="73"/>
      <c r="B1771" s="74"/>
      <c r="C1771" s="75"/>
      <c r="D1771" s="76"/>
      <c r="E1771" s="77"/>
      <c r="F1771" s="78"/>
      <c r="G1771" s="78"/>
      <c r="H1771" s="79"/>
      <c r="I1771" s="80"/>
      <c r="J1771" s="77"/>
      <c r="K1771" s="81" t="b">
        <v>0</v>
      </c>
      <c r="L1771" s="78"/>
      <c r="M1771" s="82"/>
      <c r="N1771" s="78"/>
      <c r="O1771" s="78"/>
      <c r="P1771" s="78"/>
      <c r="Q1771" s="78"/>
      <c r="R1771" s="78"/>
      <c r="S1771" s="78"/>
      <c r="T1771" s="83"/>
    </row>
    <row r="1772" spans="1:20" ht="15" customHeight="1" x14ac:dyDescent="0.3">
      <c r="A1772" s="73"/>
      <c r="B1772" s="74"/>
      <c r="C1772" s="75"/>
      <c r="D1772" s="76"/>
      <c r="E1772" s="77"/>
      <c r="F1772" s="78"/>
      <c r="G1772" s="78"/>
      <c r="H1772" s="79"/>
      <c r="I1772" s="80"/>
      <c r="J1772" s="77"/>
      <c r="K1772" s="81" t="b">
        <v>0</v>
      </c>
      <c r="L1772" s="78"/>
      <c r="M1772" s="82"/>
      <c r="N1772" s="78"/>
      <c r="O1772" s="78"/>
      <c r="P1772" s="78"/>
      <c r="Q1772" s="78"/>
      <c r="R1772" s="78"/>
      <c r="S1772" s="78"/>
      <c r="T1772" s="83"/>
    </row>
    <row r="1773" spans="1:20" ht="15" customHeight="1" x14ac:dyDescent="0.3">
      <c r="A1773" s="73"/>
      <c r="B1773" s="74"/>
      <c r="C1773" s="75"/>
      <c r="D1773" s="76"/>
      <c r="E1773" s="77"/>
      <c r="F1773" s="78"/>
      <c r="G1773" s="78"/>
      <c r="H1773" s="79"/>
      <c r="I1773" s="80"/>
      <c r="J1773" s="77"/>
      <c r="K1773" s="81" t="b">
        <v>0</v>
      </c>
      <c r="L1773" s="78"/>
      <c r="M1773" s="82"/>
      <c r="N1773" s="78"/>
      <c r="O1773" s="78"/>
      <c r="P1773" s="78"/>
      <c r="Q1773" s="78"/>
      <c r="R1773" s="78"/>
      <c r="S1773" s="78"/>
      <c r="T1773" s="83"/>
    </row>
    <row r="1774" spans="1:20" ht="15" customHeight="1" x14ac:dyDescent="0.3">
      <c r="A1774" s="73"/>
      <c r="B1774" s="74"/>
      <c r="C1774" s="75"/>
      <c r="D1774" s="76"/>
      <c r="E1774" s="77"/>
      <c r="F1774" s="78"/>
      <c r="G1774" s="78"/>
      <c r="H1774" s="79"/>
      <c r="I1774" s="80"/>
      <c r="J1774" s="77"/>
      <c r="K1774" s="81" t="b">
        <v>0</v>
      </c>
      <c r="L1774" s="78"/>
      <c r="M1774" s="82"/>
      <c r="N1774" s="78"/>
      <c r="O1774" s="78"/>
      <c r="P1774" s="78"/>
      <c r="Q1774" s="78"/>
      <c r="R1774" s="78"/>
      <c r="S1774" s="78"/>
      <c r="T1774" s="83"/>
    </row>
    <row r="1775" spans="1:20" ht="15" customHeight="1" x14ac:dyDescent="0.3">
      <c r="A1775" s="73"/>
      <c r="B1775" s="74"/>
      <c r="C1775" s="75"/>
      <c r="D1775" s="76"/>
      <c r="E1775" s="77"/>
      <c r="F1775" s="78"/>
      <c r="G1775" s="78"/>
      <c r="H1775" s="79"/>
      <c r="I1775" s="80"/>
      <c r="J1775" s="77"/>
      <c r="K1775" s="81" t="b">
        <v>0</v>
      </c>
      <c r="L1775" s="78"/>
      <c r="M1775" s="82"/>
      <c r="N1775" s="78"/>
      <c r="O1775" s="78"/>
      <c r="P1775" s="78"/>
      <c r="Q1775" s="78"/>
      <c r="R1775" s="78"/>
      <c r="S1775" s="78"/>
      <c r="T1775" s="83"/>
    </row>
    <row r="1776" spans="1:20" ht="15" customHeight="1" x14ac:dyDescent="0.3">
      <c r="A1776" s="73"/>
      <c r="B1776" s="74"/>
      <c r="C1776" s="75"/>
      <c r="D1776" s="76"/>
      <c r="E1776" s="77"/>
      <c r="F1776" s="78"/>
      <c r="G1776" s="78"/>
      <c r="H1776" s="79"/>
      <c r="I1776" s="80"/>
      <c r="J1776" s="77"/>
      <c r="K1776" s="81" t="b">
        <v>0</v>
      </c>
      <c r="L1776" s="78"/>
      <c r="M1776" s="82"/>
      <c r="N1776" s="78"/>
      <c r="O1776" s="78"/>
      <c r="P1776" s="78"/>
      <c r="Q1776" s="78"/>
      <c r="R1776" s="78"/>
      <c r="S1776" s="78"/>
      <c r="T1776" s="83"/>
    </row>
    <row r="1777" spans="1:20" ht="15" customHeight="1" x14ac:dyDescent="0.3">
      <c r="A1777" s="73"/>
      <c r="B1777" s="74"/>
      <c r="C1777" s="75"/>
      <c r="D1777" s="76"/>
      <c r="E1777" s="77"/>
      <c r="F1777" s="78"/>
      <c r="G1777" s="78"/>
      <c r="H1777" s="79"/>
      <c r="I1777" s="80"/>
      <c r="J1777" s="77"/>
      <c r="K1777" s="81" t="b">
        <v>0</v>
      </c>
      <c r="L1777" s="78"/>
      <c r="M1777" s="82"/>
      <c r="N1777" s="78"/>
      <c r="O1777" s="78"/>
      <c r="P1777" s="78"/>
      <c r="Q1777" s="78"/>
      <c r="R1777" s="78"/>
      <c r="S1777" s="78"/>
      <c r="T1777" s="83"/>
    </row>
    <row r="1778" spans="1:20" ht="15" customHeight="1" x14ac:dyDescent="0.3">
      <c r="A1778" s="73"/>
      <c r="B1778" s="74"/>
      <c r="C1778" s="75"/>
      <c r="D1778" s="76"/>
      <c r="E1778" s="77"/>
      <c r="F1778" s="78"/>
      <c r="G1778" s="78"/>
      <c r="H1778" s="79"/>
      <c r="I1778" s="80"/>
      <c r="J1778" s="77"/>
      <c r="K1778" s="81" t="b">
        <v>0</v>
      </c>
      <c r="L1778" s="78"/>
      <c r="M1778" s="82"/>
      <c r="N1778" s="78"/>
      <c r="O1778" s="78"/>
      <c r="P1778" s="78"/>
      <c r="Q1778" s="78"/>
      <c r="R1778" s="78"/>
      <c r="S1778" s="78"/>
      <c r="T1778" s="83"/>
    </row>
    <row r="1779" spans="1:20" ht="15" customHeight="1" x14ac:dyDescent="0.3">
      <c r="A1779" s="73"/>
      <c r="B1779" s="74"/>
      <c r="C1779" s="75"/>
      <c r="D1779" s="76"/>
      <c r="E1779" s="77"/>
      <c r="F1779" s="78"/>
      <c r="G1779" s="78"/>
      <c r="H1779" s="79"/>
      <c r="I1779" s="80"/>
      <c r="J1779" s="77"/>
      <c r="K1779" s="81" t="b">
        <v>0</v>
      </c>
      <c r="L1779" s="78"/>
      <c r="M1779" s="82"/>
      <c r="N1779" s="78"/>
      <c r="O1779" s="78"/>
      <c r="P1779" s="78"/>
      <c r="Q1779" s="78"/>
      <c r="R1779" s="78"/>
      <c r="S1779" s="78"/>
      <c r="T1779" s="83"/>
    </row>
    <row r="1780" spans="1:20" ht="15" customHeight="1" x14ac:dyDescent="0.3">
      <c r="A1780" s="73"/>
      <c r="B1780" s="74"/>
      <c r="C1780" s="75"/>
      <c r="D1780" s="76"/>
      <c r="E1780" s="77"/>
      <c r="F1780" s="78"/>
      <c r="G1780" s="78"/>
      <c r="H1780" s="79"/>
      <c r="I1780" s="80"/>
      <c r="J1780" s="77"/>
      <c r="K1780" s="81" t="b">
        <v>0</v>
      </c>
      <c r="L1780" s="78"/>
      <c r="M1780" s="82"/>
      <c r="N1780" s="78"/>
      <c r="O1780" s="78"/>
      <c r="P1780" s="78"/>
      <c r="Q1780" s="78"/>
      <c r="R1780" s="78"/>
      <c r="S1780" s="78"/>
      <c r="T1780" s="83"/>
    </row>
    <row r="1781" spans="1:20" ht="15" customHeight="1" x14ac:dyDescent="0.3">
      <c r="A1781" s="73"/>
      <c r="B1781" s="74"/>
      <c r="C1781" s="75"/>
      <c r="D1781" s="76"/>
      <c r="E1781" s="77"/>
      <c r="F1781" s="78"/>
      <c r="G1781" s="78"/>
      <c r="H1781" s="79"/>
      <c r="I1781" s="80"/>
      <c r="J1781" s="77"/>
      <c r="K1781" s="81" t="b">
        <v>0</v>
      </c>
      <c r="L1781" s="78"/>
      <c r="M1781" s="82"/>
      <c r="N1781" s="78"/>
      <c r="O1781" s="78"/>
      <c r="P1781" s="78"/>
      <c r="Q1781" s="78"/>
      <c r="R1781" s="78"/>
      <c r="S1781" s="78"/>
      <c r="T1781" s="83"/>
    </row>
    <row r="1782" spans="1:20" ht="15" customHeight="1" x14ac:dyDescent="0.3">
      <c r="A1782" s="73"/>
      <c r="B1782" s="74"/>
      <c r="C1782" s="75"/>
      <c r="D1782" s="76"/>
      <c r="E1782" s="77"/>
      <c r="F1782" s="78"/>
      <c r="G1782" s="78"/>
      <c r="H1782" s="79"/>
      <c r="I1782" s="80"/>
      <c r="J1782" s="77"/>
      <c r="K1782" s="81" t="b">
        <v>0</v>
      </c>
      <c r="L1782" s="78"/>
      <c r="M1782" s="82"/>
      <c r="N1782" s="78"/>
      <c r="O1782" s="78"/>
      <c r="P1782" s="78"/>
      <c r="Q1782" s="78"/>
      <c r="R1782" s="78"/>
      <c r="S1782" s="78"/>
      <c r="T1782" s="83"/>
    </row>
    <row r="1783" spans="1:20" ht="15" customHeight="1" x14ac:dyDescent="0.3">
      <c r="A1783" s="73"/>
      <c r="B1783" s="74"/>
      <c r="C1783" s="75"/>
      <c r="D1783" s="76"/>
      <c r="E1783" s="77"/>
      <c r="F1783" s="78"/>
      <c r="G1783" s="78"/>
      <c r="H1783" s="79"/>
      <c r="I1783" s="80"/>
      <c r="J1783" s="77"/>
      <c r="K1783" s="81" t="b">
        <v>0</v>
      </c>
      <c r="L1783" s="78"/>
      <c r="M1783" s="82"/>
      <c r="N1783" s="78"/>
      <c r="O1783" s="78"/>
      <c r="P1783" s="78"/>
      <c r="Q1783" s="78"/>
      <c r="R1783" s="78"/>
      <c r="S1783" s="78"/>
      <c r="T1783" s="83"/>
    </row>
    <row r="1784" spans="1:20" ht="15" customHeight="1" x14ac:dyDescent="0.3">
      <c r="A1784" s="73"/>
      <c r="B1784" s="74"/>
      <c r="C1784" s="75"/>
      <c r="D1784" s="76"/>
      <c r="E1784" s="77"/>
      <c r="F1784" s="78"/>
      <c r="G1784" s="78"/>
      <c r="H1784" s="79"/>
      <c r="I1784" s="80"/>
      <c r="J1784" s="77"/>
      <c r="K1784" s="81" t="b">
        <v>0</v>
      </c>
      <c r="L1784" s="78"/>
      <c r="M1784" s="82"/>
      <c r="N1784" s="78"/>
      <c r="O1784" s="78"/>
      <c r="P1784" s="78"/>
      <c r="Q1784" s="78"/>
      <c r="R1784" s="78"/>
      <c r="S1784" s="78"/>
      <c r="T1784" s="83"/>
    </row>
    <row r="1785" spans="1:20" ht="15" customHeight="1" x14ac:dyDescent="0.3">
      <c r="A1785" s="73"/>
      <c r="B1785" s="74"/>
      <c r="C1785" s="75"/>
      <c r="D1785" s="76"/>
      <c r="E1785" s="77"/>
      <c r="F1785" s="78"/>
      <c r="G1785" s="78"/>
      <c r="H1785" s="79"/>
      <c r="I1785" s="80"/>
      <c r="J1785" s="77"/>
      <c r="K1785" s="81" t="b">
        <v>0</v>
      </c>
      <c r="L1785" s="78"/>
      <c r="M1785" s="82"/>
      <c r="N1785" s="78"/>
      <c r="O1785" s="78"/>
      <c r="P1785" s="78"/>
      <c r="Q1785" s="78"/>
      <c r="R1785" s="78"/>
      <c r="S1785" s="78"/>
      <c r="T1785" s="83"/>
    </row>
    <row r="1786" spans="1:20" ht="15" customHeight="1" x14ac:dyDescent="0.3">
      <c r="A1786" s="73"/>
      <c r="B1786" s="74"/>
      <c r="C1786" s="75"/>
      <c r="D1786" s="76"/>
      <c r="E1786" s="77"/>
      <c r="F1786" s="78"/>
      <c r="G1786" s="78"/>
      <c r="H1786" s="79"/>
      <c r="I1786" s="80"/>
      <c r="J1786" s="77"/>
      <c r="K1786" s="81" t="b">
        <v>0</v>
      </c>
      <c r="L1786" s="78"/>
      <c r="M1786" s="82"/>
      <c r="N1786" s="78"/>
      <c r="O1786" s="78"/>
      <c r="P1786" s="78"/>
      <c r="Q1786" s="78"/>
      <c r="R1786" s="78"/>
      <c r="S1786" s="78"/>
      <c r="T1786" s="83"/>
    </row>
    <row r="1787" spans="1:20" ht="15" customHeight="1" x14ac:dyDescent="0.3">
      <c r="A1787" s="73"/>
      <c r="B1787" s="74"/>
      <c r="C1787" s="75"/>
      <c r="D1787" s="76"/>
      <c r="E1787" s="77"/>
      <c r="F1787" s="78"/>
      <c r="G1787" s="78"/>
      <c r="H1787" s="79"/>
      <c r="I1787" s="80"/>
      <c r="J1787" s="77"/>
      <c r="K1787" s="81" t="b">
        <v>0</v>
      </c>
      <c r="L1787" s="78"/>
      <c r="M1787" s="82"/>
      <c r="N1787" s="78"/>
      <c r="O1787" s="78"/>
      <c r="P1787" s="78"/>
      <c r="Q1787" s="78"/>
      <c r="R1787" s="78"/>
      <c r="S1787" s="78"/>
      <c r="T1787" s="83"/>
    </row>
    <row r="1788" spans="1:20" ht="15" customHeight="1" x14ac:dyDescent="0.3">
      <c r="A1788" s="73"/>
      <c r="B1788" s="74"/>
      <c r="C1788" s="75"/>
      <c r="D1788" s="76"/>
      <c r="E1788" s="77"/>
      <c r="F1788" s="78"/>
      <c r="G1788" s="78"/>
      <c r="H1788" s="79"/>
      <c r="I1788" s="80"/>
      <c r="J1788" s="77"/>
      <c r="K1788" s="81" t="b">
        <v>0</v>
      </c>
      <c r="L1788" s="78"/>
      <c r="M1788" s="82"/>
      <c r="N1788" s="78"/>
      <c r="O1788" s="78"/>
      <c r="P1788" s="78"/>
      <c r="Q1788" s="78"/>
      <c r="R1788" s="78"/>
      <c r="S1788" s="78"/>
      <c r="T1788" s="83"/>
    </row>
    <row r="1789" spans="1:20" ht="15" customHeight="1" x14ac:dyDescent="0.3">
      <c r="A1789" s="73"/>
      <c r="B1789" s="74"/>
      <c r="C1789" s="75"/>
      <c r="D1789" s="76"/>
      <c r="E1789" s="77"/>
      <c r="F1789" s="78"/>
      <c r="G1789" s="78"/>
      <c r="H1789" s="79"/>
      <c r="I1789" s="80"/>
      <c r="J1789" s="77"/>
      <c r="K1789" s="81" t="b">
        <v>0</v>
      </c>
      <c r="L1789" s="78"/>
      <c r="M1789" s="82"/>
      <c r="N1789" s="78"/>
      <c r="O1789" s="78"/>
      <c r="P1789" s="78"/>
      <c r="Q1789" s="78"/>
      <c r="R1789" s="78"/>
      <c r="S1789" s="78"/>
      <c r="T1789" s="83"/>
    </row>
    <row r="1790" spans="1:20" ht="15" customHeight="1" x14ac:dyDescent="0.3">
      <c r="A1790" s="73"/>
      <c r="B1790" s="74"/>
      <c r="C1790" s="75"/>
      <c r="D1790" s="76"/>
      <c r="E1790" s="77"/>
      <c r="F1790" s="78"/>
      <c r="G1790" s="78"/>
      <c r="H1790" s="79"/>
      <c r="I1790" s="80"/>
      <c r="J1790" s="77"/>
      <c r="K1790" s="81" t="b">
        <v>0</v>
      </c>
      <c r="L1790" s="78"/>
      <c r="M1790" s="82"/>
      <c r="N1790" s="78"/>
      <c r="O1790" s="78"/>
      <c r="P1790" s="78"/>
      <c r="Q1790" s="78"/>
      <c r="R1790" s="78"/>
      <c r="S1790" s="78"/>
      <c r="T1790" s="83"/>
    </row>
    <row r="1791" spans="1:20" ht="15" customHeight="1" x14ac:dyDescent="0.3">
      <c r="A1791" s="73"/>
      <c r="B1791" s="74"/>
      <c r="C1791" s="75"/>
      <c r="D1791" s="76"/>
      <c r="E1791" s="77"/>
      <c r="F1791" s="78"/>
      <c r="G1791" s="78"/>
      <c r="H1791" s="79"/>
      <c r="I1791" s="80"/>
      <c r="J1791" s="77"/>
      <c r="K1791" s="81" t="b">
        <v>0</v>
      </c>
      <c r="L1791" s="78"/>
      <c r="M1791" s="82"/>
      <c r="N1791" s="78"/>
      <c r="O1791" s="78"/>
      <c r="P1791" s="78"/>
      <c r="Q1791" s="78"/>
      <c r="R1791" s="78"/>
      <c r="S1791" s="78"/>
      <c r="T1791" s="83"/>
    </row>
    <row r="1792" spans="1:20" ht="15" customHeight="1" x14ac:dyDescent="0.3">
      <c r="A1792" s="73"/>
      <c r="B1792" s="74"/>
      <c r="C1792" s="75"/>
      <c r="D1792" s="76"/>
      <c r="E1792" s="77"/>
      <c r="F1792" s="78"/>
      <c r="G1792" s="78"/>
      <c r="H1792" s="79"/>
      <c r="I1792" s="80"/>
      <c r="J1792" s="77"/>
      <c r="K1792" s="81" t="b">
        <v>0</v>
      </c>
      <c r="L1792" s="78"/>
      <c r="M1792" s="82"/>
      <c r="N1792" s="78"/>
      <c r="O1792" s="78"/>
      <c r="P1792" s="78"/>
      <c r="Q1792" s="78"/>
      <c r="R1792" s="78"/>
      <c r="S1792" s="78"/>
      <c r="T1792" s="83"/>
    </row>
    <row r="1793" spans="1:20" ht="15" customHeight="1" x14ac:dyDescent="0.3">
      <c r="A1793" s="73"/>
      <c r="B1793" s="74"/>
      <c r="C1793" s="75"/>
      <c r="D1793" s="76"/>
      <c r="E1793" s="77"/>
      <c r="F1793" s="78"/>
      <c r="G1793" s="78"/>
      <c r="H1793" s="79"/>
      <c r="I1793" s="80"/>
      <c r="J1793" s="77"/>
      <c r="K1793" s="81" t="b">
        <v>0</v>
      </c>
      <c r="L1793" s="78"/>
      <c r="M1793" s="82"/>
      <c r="N1793" s="78"/>
      <c r="O1793" s="78"/>
      <c r="P1793" s="78"/>
      <c r="Q1793" s="78"/>
      <c r="R1793" s="78"/>
      <c r="S1793" s="78"/>
      <c r="T1793" s="83"/>
    </row>
    <row r="1794" spans="1:20" ht="15" customHeight="1" x14ac:dyDescent="0.3">
      <c r="A1794" s="73"/>
      <c r="B1794" s="74"/>
      <c r="C1794" s="75"/>
      <c r="D1794" s="76"/>
      <c r="E1794" s="77"/>
      <c r="F1794" s="78"/>
      <c r="G1794" s="78"/>
      <c r="H1794" s="79"/>
      <c r="I1794" s="80"/>
      <c r="J1794" s="77"/>
      <c r="K1794" s="81" t="b">
        <v>0</v>
      </c>
      <c r="L1794" s="78"/>
      <c r="M1794" s="82"/>
      <c r="N1794" s="78"/>
      <c r="O1794" s="78"/>
      <c r="P1794" s="78"/>
      <c r="Q1794" s="78"/>
      <c r="R1794" s="78"/>
      <c r="S1794" s="78"/>
      <c r="T1794" s="83"/>
    </row>
    <row r="1795" spans="1:20" ht="15" customHeight="1" x14ac:dyDescent="0.3">
      <c r="A1795" s="73"/>
      <c r="B1795" s="74"/>
      <c r="C1795" s="75"/>
      <c r="D1795" s="76"/>
      <c r="E1795" s="77"/>
      <c r="F1795" s="78"/>
      <c r="G1795" s="78"/>
      <c r="H1795" s="79"/>
      <c r="I1795" s="80"/>
      <c r="J1795" s="77"/>
      <c r="K1795" s="81" t="b">
        <v>0</v>
      </c>
      <c r="L1795" s="78"/>
      <c r="M1795" s="82"/>
      <c r="N1795" s="78"/>
      <c r="O1795" s="78"/>
      <c r="P1795" s="78"/>
      <c r="Q1795" s="78"/>
      <c r="R1795" s="78"/>
      <c r="S1795" s="78"/>
      <c r="T1795" s="83"/>
    </row>
    <row r="1796" spans="1:20" ht="15" customHeight="1" x14ac:dyDescent="0.3">
      <c r="A1796" s="73"/>
      <c r="B1796" s="74"/>
      <c r="C1796" s="75"/>
      <c r="D1796" s="76"/>
      <c r="E1796" s="77"/>
      <c r="F1796" s="78"/>
      <c r="G1796" s="78"/>
      <c r="H1796" s="79"/>
      <c r="I1796" s="80"/>
      <c r="J1796" s="77"/>
      <c r="K1796" s="81" t="b">
        <v>0</v>
      </c>
      <c r="L1796" s="78"/>
      <c r="M1796" s="82"/>
      <c r="N1796" s="78"/>
      <c r="O1796" s="78"/>
      <c r="P1796" s="78"/>
      <c r="Q1796" s="78"/>
      <c r="R1796" s="78"/>
      <c r="S1796" s="78"/>
      <c r="T1796" s="83"/>
    </row>
    <row r="1797" spans="1:20" ht="15" customHeight="1" x14ac:dyDescent="0.3">
      <c r="A1797" s="73"/>
      <c r="B1797" s="74"/>
      <c r="C1797" s="75"/>
      <c r="D1797" s="76"/>
      <c r="E1797" s="77"/>
      <c r="F1797" s="78"/>
      <c r="G1797" s="78"/>
      <c r="H1797" s="79"/>
      <c r="I1797" s="80"/>
      <c r="J1797" s="77"/>
      <c r="K1797" s="81" t="b">
        <v>0</v>
      </c>
      <c r="L1797" s="78"/>
      <c r="M1797" s="82"/>
      <c r="N1797" s="78"/>
      <c r="O1797" s="78"/>
      <c r="P1797" s="78"/>
      <c r="Q1797" s="78"/>
      <c r="R1797" s="78"/>
      <c r="S1797" s="78"/>
      <c r="T1797" s="83"/>
    </row>
    <row r="1798" spans="1:20" ht="15" customHeight="1" x14ac:dyDescent="0.3">
      <c r="A1798" s="73"/>
      <c r="B1798" s="74"/>
      <c r="C1798" s="75"/>
      <c r="D1798" s="76"/>
      <c r="E1798" s="77"/>
      <c r="F1798" s="78"/>
      <c r="G1798" s="78"/>
      <c r="H1798" s="79"/>
      <c r="I1798" s="80"/>
      <c r="J1798" s="77"/>
      <c r="K1798" s="81" t="b">
        <v>0</v>
      </c>
      <c r="L1798" s="78"/>
      <c r="M1798" s="82"/>
      <c r="N1798" s="78"/>
      <c r="O1798" s="78"/>
      <c r="P1798" s="78"/>
      <c r="Q1798" s="78"/>
      <c r="R1798" s="78"/>
      <c r="S1798" s="78"/>
      <c r="T1798" s="83"/>
    </row>
    <row r="1799" spans="1:20" ht="15" customHeight="1" x14ac:dyDescent="0.3">
      <c r="A1799" s="73"/>
      <c r="B1799" s="74"/>
      <c r="C1799" s="75"/>
      <c r="D1799" s="76"/>
      <c r="E1799" s="77"/>
      <c r="F1799" s="78"/>
      <c r="G1799" s="78"/>
      <c r="H1799" s="79"/>
      <c r="I1799" s="80"/>
      <c r="J1799" s="77"/>
      <c r="K1799" s="81" t="b">
        <v>0</v>
      </c>
      <c r="L1799" s="78"/>
      <c r="M1799" s="82"/>
      <c r="N1799" s="78"/>
      <c r="O1799" s="78"/>
      <c r="P1799" s="78"/>
      <c r="Q1799" s="78"/>
      <c r="R1799" s="78"/>
      <c r="S1799" s="78"/>
      <c r="T1799" s="83"/>
    </row>
    <row r="1800" spans="1:20" ht="15" customHeight="1" x14ac:dyDescent="0.3">
      <c r="A1800" s="73"/>
      <c r="B1800" s="74"/>
      <c r="C1800" s="75"/>
      <c r="D1800" s="76"/>
      <c r="E1800" s="77"/>
      <c r="F1800" s="78"/>
      <c r="G1800" s="78"/>
      <c r="H1800" s="79"/>
      <c r="I1800" s="80"/>
      <c r="J1800" s="77"/>
      <c r="K1800" s="81" t="b">
        <v>0</v>
      </c>
      <c r="L1800" s="78"/>
      <c r="M1800" s="82"/>
      <c r="N1800" s="78"/>
      <c r="O1800" s="78"/>
      <c r="P1800" s="78"/>
      <c r="Q1800" s="78"/>
      <c r="R1800" s="78"/>
      <c r="S1800" s="78"/>
      <c r="T1800" s="83"/>
    </row>
    <row r="1801" spans="1:20" ht="15" customHeight="1" x14ac:dyDescent="0.3">
      <c r="A1801" s="73"/>
      <c r="B1801" s="74"/>
      <c r="C1801" s="75"/>
      <c r="D1801" s="76"/>
      <c r="E1801" s="77"/>
      <c r="F1801" s="78"/>
      <c r="G1801" s="78"/>
      <c r="H1801" s="79"/>
      <c r="I1801" s="80"/>
      <c r="J1801" s="77"/>
      <c r="K1801" s="81" t="b">
        <v>0</v>
      </c>
      <c r="L1801" s="78"/>
      <c r="M1801" s="82"/>
      <c r="N1801" s="78"/>
      <c r="O1801" s="78"/>
      <c r="P1801" s="78"/>
      <c r="Q1801" s="78"/>
      <c r="R1801" s="78"/>
      <c r="S1801" s="78"/>
      <c r="T1801" s="83"/>
    </row>
    <row r="1802" spans="1:20" ht="15" customHeight="1" x14ac:dyDescent="0.3">
      <c r="A1802" s="73"/>
      <c r="B1802" s="74"/>
      <c r="C1802" s="75"/>
      <c r="D1802" s="76"/>
      <c r="E1802" s="77"/>
      <c r="F1802" s="78"/>
      <c r="G1802" s="78"/>
      <c r="H1802" s="79"/>
      <c r="I1802" s="80"/>
      <c r="J1802" s="77"/>
      <c r="K1802" s="81" t="b">
        <v>0</v>
      </c>
      <c r="L1802" s="78"/>
      <c r="M1802" s="82"/>
      <c r="N1802" s="78"/>
      <c r="O1802" s="78"/>
      <c r="P1802" s="78"/>
      <c r="Q1802" s="78"/>
      <c r="R1802" s="78"/>
      <c r="S1802" s="78"/>
      <c r="T1802" s="83"/>
    </row>
    <row r="1803" spans="1:20" ht="15" customHeight="1" x14ac:dyDescent="0.3">
      <c r="A1803" s="73"/>
      <c r="B1803" s="74"/>
      <c r="C1803" s="75"/>
      <c r="D1803" s="76"/>
      <c r="E1803" s="77"/>
      <c r="F1803" s="78"/>
      <c r="G1803" s="78"/>
      <c r="H1803" s="79"/>
      <c r="I1803" s="80"/>
      <c r="J1803" s="77"/>
      <c r="K1803" s="81" t="b">
        <v>0</v>
      </c>
      <c r="L1803" s="78"/>
      <c r="M1803" s="82"/>
      <c r="N1803" s="78"/>
      <c r="O1803" s="78"/>
      <c r="P1803" s="78"/>
      <c r="Q1803" s="78"/>
      <c r="R1803" s="78"/>
      <c r="S1803" s="78"/>
      <c r="T1803" s="83"/>
    </row>
    <row r="1804" spans="1:20" ht="15" customHeight="1" x14ac:dyDescent="0.3">
      <c r="A1804" s="73"/>
      <c r="B1804" s="74"/>
      <c r="C1804" s="75"/>
      <c r="D1804" s="76"/>
      <c r="E1804" s="77"/>
      <c r="F1804" s="78"/>
      <c r="G1804" s="78"/>
      <c r="H1804" s="79"/>
      <c r="I1804" s="80"/>
      <c r="J1804" s="77"/>
      <c r="K1804" s="81" t="b">
        <v>0</v>
      </c>
      <c r="L1804" s="78"/>
      <c r="M1804" s="82"/>
      <c r="N1804" s="78"/>
      <c r="O1804" s="78"/>
      <c r="P1804" s="78"/>
      <c r="Q1804" s="78"/>
      <c r="R1804" s="78"/>
      <c r="S1804" s="78"/>
      <c r="T1804" s="83"/>
    </row>
    <row r="1805" spans="1:20" ht="15" customHeight="1" x14ac:dyDescent="0.3">
      <c r="A1805" s="73"/>
      <c r="B1805" s="74"/>
      <c r="C1805" s="75"/>
      <c r="D1805" s="76"/>
      <c r="E1805" s="77"/>
      <c r="F1805" s="78"/>
      <c r="G1805" s="78"/>
      <c r="H1805" s="79"/>
      <c r="I1805" s="80"/>
      <c r="J1805" s="77"/>
      <c r="K1805" s="81" t="b">
        <v>0</v>
      </c>
      <c r="L1805" s="78"/>
      <c r="M1805" s="82"/>
      <c r="N1805" s="78"/>
      <c r="O1805" s="78"/>
      <c r="P1805" s="78"/>
      <c r="Q1805" s="78"/>
      <c r="R1805" s="78"/>
      <c r="S1805" s="78"/>
      <c r="T1805" s="83"/>
    </row>
    <row r="1806" spans="1:20" ht="15" customHeight="1" x14ac:dyDescent="0.3">
      <c r="A1806" s="73"/>
      <c r="B1806" s="74"/>
      <c r="C1806" s="75"/>
      <c r="D1806" s="76"/>
      <c r="E1806" s="77"/>
      <c r="F1806" s="78"/>
      <c r="G1806" s="78"/>
      <c r="H1806" s="79"/>
      <c r="I1806" s="80"/>
      <c r="J1806" s="77"/>
      <c r="K1806" s="81" t="b">
        <v>0</v>
      </c>
      <c r="L1806" s="78"/>
      <c r="M1806" s="82"/>
      <c r="N1806" s="78"/>
      <c r="O1806" s="78"/>
      <c r="P1806" s="78"/>
      <c r="Q1806" s="78"/>
      <c r="R1806" s="78"/>
      <c r="S1806" s="78"/>
      <c r="T1806" s="83"/>
    </row>
    <row r="1807" spans="1:20" ht="15" customHeight="1" x14ac:dyDescent="0.3">
      <c r="A1807" s="73"/>
      <c r="B1807" s="74"/>
      <c r="C1807" s="75"/>
      <c r="D1807" s="76"/>
      <c r="E1807" s="77"/>
      <c r="F1807" s="78"/>
      <c r="G1807" s="78"/>
      <c r="H1807" s="79"/>
      <c r="I1807" s="80"/>
      <c r="J1807" s="77"/>
      <c r="K1807" s="81" t="b">
        <v>0</v>
      </c>
      <c r="L1807" s="78"/>
      <c r="M1807" s="82"/>
      <c r="N1807" s="78"/>
      <c r="O1807" s="78"/>
      <c r="P1807" s="78"/>
      <c r="Q1807" s="78"/>
      <c r="R1807" s="78"/>
      <c r="S1807" s="78"/>
      <c r="T1807" s="83"/>
    </row>
    <row r="1808" spans="1:20" ht="15" customHeight="1" x14ac:dyDescent="0.3">
      <c r="A1808" s="73"/>
      <c r="B1808" s="74"/>
      <c r="C1808" s="75"/>
      <c r="D1808" s="76"/>
      <c r="E1808" s="77"/>
      <c r="F1808" s="78"/>
      <c r="G1808" s="78"/>
      <c r="H1808" s="79"/>
      <c r="I1808" s="80"/>
      <c r="J1808" s="77"/>
      <c r="K1808" s="81" t="b">
        <v>0</v>
      </c>
      <c r="L1808" s="78"/>
      <c r="M1808" s="82"/>
      <c r="N1808" s="78"/>
      <c r="O1808" s="78"/>
      <c r="P1808" s="78"/>
      <c r="Q1808" s="78"/>
      <c r="R1808" s="78"/>
      <c r="S1808" s="78"/>
      <c r="T1808" s="83"/>
    </row>
    <row r="1809" spans="1:20" ht="15" customHeight="1" x14ac:dyDescent="0.3">
      <c r="A1809" s="73"/>
      <c r="B1809" s="74"/>
      <c r="C1809" s="75"/>
      <c r="D1809" s="76"/>
      <c r="E1809" s="77"/>
      <c r="F1809" s="78"/>
      <c r="G1809" s="78"/>
      <c r="H1809" s="79"/>
      <c r="I1809" s="80"/>
      <c r="J1809" s="77"/>
      <c r="K1809" s="81" t="b">
        <v>0</v>
      </c>
      <c r="L1809" s="78"/>
      <c r="M1809" s="82"/>
      <c r="N1809" s="78"/>
      <c r="O1809" s="78"/>
      <c r="P1809" s="78"/>
      <c r="Q1809" s="78"/>
      <c r="R1809" s="78"/>
      <c r="S1809" s="78"/>
      <c r="T1809" s="83"/>
    </row>
    <row r="1810" spans="1:20" ht="15" customHeight="1" x14ac:dyDescent="0.3">
      <c r="A1810" s="73"/>
      <c r="B1810" s="74"/>
      <c r="C1810" s="75"/>
      <c r="D1810" s="76"/>
      <c r="E1810" s="77"/>
      <c r="F1810" s="78"/>
      <c r="G1810" s="78"/>
      <c r="H1810" s="79"/>
      <c r="I1810" s="80"/>
      <c r="J1810" s="77"/>
      <c r="K1810" s="81" t="b">
        <v>0</v>
      </c>
      <c r="L1810" s="78"/>
      <c r="M1810" s="82"/>
      <c r="N1810" s="78"/>
      <c r="O1810" s="78"/>
      <c r="P1810" s="78"/>
      <c r="Q1810" s="78"/>
      <c r="R1810" s="78"/>
      <c r="S1810" s="78"/>
      <c r="T1810" s="83"/>
    </row>
    <row r="1811" spans="1:20" ht="15" customHeight="1" x14ac:dyDescent="0.3">
      <c r="A1811" s="73"/>
      <c r="B1811" s="74"/>
      <c r="C1811" s="75"/>
      <c r="D1811" s="76"/>
      <c r="E1811" s="77"/>
      <c r="F1811" s="78"/>
      <c r="G1811" s="78"/>
      <c r="H1811" s="79"/>
      <c r="I1811" s="80"/>
      <c r="J1811" s="77"/>
      <c r="K1811" s="81" t="b">
        <v>0</v>
      </c>
      <c r="L1811" s="78"/>
      <c r="M1811" s="82"/>
      <c r="N1811" s="78"/>
      <c r="O1811" s="78"/>
      <c r="P1811" s="78"/>
      <c r="Q1811" s="78"/>
      <c r="R1811" s="78"/>
      <c r="S1811" s="78"/>
      <c r="T1811" s="83"/>
    </row>
    <row r="1812" spans="1:20" ht="15" customHeight="1" x14ac:dyDescent="0.3">
      <c r="A1812" s="73"/>
      <c r="B1812" s="74"/>
      <c r="C1812" s="75"/>
      <c r="D1812" s="76"/>
      <c r="E1812" s="77"/>
      <c r="F1812" s="78"/>
      <c r="G1812" s="78"/>
      <c r="H1812" s="79"/>
      <c r="I1812" s="80"/>
      <c r="J1812" s="77"/>
      <c r="K1812" s="81" t="b">
        <v>0</v>
      </c>
      <c r="L1812" s="78"/>
      <c r="M1812" s="82"/>
      <c r="N1812" s="78"/>
      <c r="O1812" s="78"/>
      <c r="P1812" s="78"/>
      <c r="Q1812" s="78"/>
      <c r="R1812" s="78"/>
      <c r="S1812" s="78"/>
      <c r="T1812" s="83"/>
    </row>
    <row r="1813" spans="1:20" ht="15" customHeight="1" x14ac:dyDescent="0.3">
      <c r="A1813" s="73"/>
      <c r="B1813" s="74"/>
      <c r="C1813" s="75"/>
      <c r="D1813" s="76"/>
      <c r="E1813" s="77"/>
      <c r="F1813" s="78"/>
      <c r="G1813" s="78"/>
      <c r="H1813" s="79"/>
      <c r="I1813" s="80"/>
      <c r="J1813" s="77"/>
      <c r="K1813" s="81" t="b">
        <v>0</v>
      </c>
      <c r="L1813" s="78"/>
      <c r="M1813" s="82"/>
      <c r="N1813" s="78"/>
      <c r="O1813" s="78"/>
      <c r="P1813" s="78"/>
      <c r="Q1813" s="78"/>
      <c r="R1813" s="78"/>
      <c r="S1813" s="78"/>
      <c r="T1813" s="83"/>
    </row>
    <row r="1814" spans="1:20" ht="15" customHeight="1" x14ac:dyDescent="0.3">
      <c r="A1814" s="73"/>
      <c r="B1814" s="74"/>
      <c r="C1814" s="75"/>
      <c r="D1814" s="76"/>
      <c r="E1814" s="77"/>
      <c r="F1814" s="78"/>
      <c r="G1814" s="78"/>
      <c r="H1814" s="79"/>
      <c r="I1814" s="80"/>
      <c r="J1814" s="77"/>
      <c r="K1814" s="81" t="b">
        <v>0</v>
      </c>
      <c r="L1814" s="78"/>
      <c r="M1814" s="82"/>
      <c r="N1814" s="78"/>
      <c r="O1814" s="78"/>
      <c r="P1814" s="78"/>
      <c r="Q1814" s="78"/>
      <c r="R1814" s="78"/>
      <c r="S1814" s="78"/>
      <c r="T1814" s="83"/>
    </row>
    <row r="1815" spans="1:20" ht="15" customHeight="1" x14ac:dyDescent="0.3">
      <c r="A1815" s="73"/>
      <c r="B1815" s="74"/>
      <c r="C1815" s="75"/>
      <c r="D1815" s="76"/>
      <c r="E1815" s="77"/>
      <c r="F1815" s="78"/>
      <c r="G1815" s="78"/>
      <c r="H1815" s="79"/>
      <c r="I1815" s="80"/>
      <c r="J1815" s="77"/>
      <c r="K1815" s="81" t="b">
        <v>0</v>
      </c>
      <c r="L1815" s="78"/>
      <c r="M1815" s="82"/>
      <c r="N1815" s="78"/>
      <c r="O1815" s="78"/>
      <c r="P1815" s="78"/>
      <c r="Q1815" s="78"/>
      <c r="R1815" s="78"/>
      <c r="S1815" s="78"/>
      <c r="T1815" s="83"/>
    </row>
    <row r="1816" spans="1:20" ht="15" customHeight="1" x14ac:dyDescent="0.3">
      <c r="A1816" s="73"/>
      <c r="B1816" s="74"/>
      <c r="C1816" s="75"/>
      <c r="D1816" s="76"/>
      <c r="E1816" s="77"/>
      <c r="F1816" s="78"/>
      <c r="G1816" s="78"/>
      <c r="H1816" s="79"/>
      <c r="I1816" s="80"/>
      <c r="J1816" s="77"/>
      <c r="K1816" s="81" t="b">
        <v>0</v>
      </c>
      <c r="L1816" s="78"/>
      <c r="M1816" s="82"/>
      <c r="N1816" s="78"/>
      <c r="O1816" s="78"/>
      <c r="P1816" s="78"/>
      <c r="Q1816" s="78"/>
      <c r="R1816" s="78"/>
      <c r="S1816" s="78"/>
      <c r="T1816" s="83"/>
    </row>
    <row r="1817" spans="1:20" ht="15" customHeight="1" x14ac:dyDescent="0.3">
      <c r="A1817" s="73"/>
      <c r="B1817" s="74"/>
      <c r="C1817" s="75"/>
      <c r="D1817" s="76"/>
      <c r="E1817" s="77"/>
      <c r="F1817" s="78"/>
      <c r="G1817" s="78"/>
      <c r="H1817" s="79"/>
      <c r="I1817" s="80"/>
      <c r="J1817" s="77"/>
      <c r="K1817" s="81" t="b">
        <v>0</v>
      </c>
      <c r="L1817" s="78"/>
      <c r="M1817" s="82"/>
      <c r="N1817" s="78"/>
      <c r="O1817" s="78"/>
      <c r="P1817" s="78"/>
      <c r="Q1817" s="78"/>
      <c r="R1817" s="78"/>
      <c r="S1817" s="78"/>
      <c r="T1817" s="83"/>
    </row>
    <row r="1818" spans="1:20" ht="15" customHeight="1" x14ac:dyDescent="0.3">
      <c r="A1818" s="73"/>
      <c r="B1818" s="74"/>
      <c r="C1818" s="75"/>
      <c r="D1818" s="76"/>
      <c r="E1818" s="77"/>
      <c r="F1818" s="78"/>
      <c r="G1818" s="78"/>
      <c r="H1818" s="79"/>
      <c r="I1818" s="80"/>
      <c r="J1818" s="77"/>
      <c r="K1818" s="81" t="b">
        <v>0</v>
      </c>
      <c r="L1818" s="78"/>
      <c r="M1818" s="82"/>
      <c r="N1818" s="78"/>
      <c r="O1818" s="78"/>
      <c r="P1818" s="78"/>
      <c r="Q1818" s="78"/>
      <c r="R1818" s="78"/>
      <c r="S1818" s="78"/>
      <c r="T1818" s="83"/>
    </row>
    <row r="1819" spans="1:20" ht="15" customHeight="1" x14ac:dyDescent="0.3">
      <c r="A1819" s="73"/>
      <c r="B1819" s="74"/>
      <c r="C1819" s="75"/>
      <c r="D1819" s="76"/>
      <c r="E1819" s="77"/>
      <c r="F1819" s="78"/>
      <c r="G1819" s="78"/>
      <c r="H1819" s="79"/>
      <c r="I1819" s="80"/>
      <c r="J1819" s="77"/>
      <c r="K1819" s="81" t="b">
        <v>0</v>
      </c>
      <c r="L1819" s="78"/>
      <c r="M1819" s="82"/>
      <c r="N1819" s="78"/>
      <c r="O1819" s="78"/>
      <c r="P1819" s="78"/>
      <c r="Q1819" s="78"/>
      <c r="R1819" s="78"/>
      <c r="S1819" s="78"/>
      <c r="T1819" s="83"/>
    </row>
    <row r="1820" spans="1:20" ht="15" customHeight="1" x14ac:dyDescent="0.3">
      <c r="A1820" s="73"/>
      <c r="B1820" s="74"/>
      <c r="C1820" s="75"/>
      <c r="D1820" s="76"/>
      <c r="E1820" s="77"/>
      <c r="F1820" s="78"/>
      <c r="G1820" s="78"/>
      <c r="H1820" s="79"/>
      <c r="I1820" s="80"/>
      <c r="J1820" s="77"/>
      <c r="K1820" s="81" t="b">
        <v>0</v>
      </c>
      <c r="L1820" s="78"/>
      <c r="M1820" s="82"/>
      <c r="N1820" s="78"/>
      <c r="O1820" s="78"/>
      <c r="P1820" s="78"/>
      <c r="Q1820" s="78"/>
      <c r="R1820" s="78"/>
      <c r="S1820" s="78"/>
      <c r="T1820" s="83"/>
    </row>
    <row r="1821" spans="1:20" ht="15" customHeight="1" x14ac:dyDescent="0.3">
      <c r="A1821" s="73"/>
      <c r="B1821" s="74"/>
      <c r="C1821" s="75"/>
      <c r="D1821" s="76"/>
      <c r="E1821" s="77"/>
      <c r="F1821" s="78"/>
      <c r="G1821" s="78"/>
      <c r="H1821" s="79"/>
      <c r="I1821" s="80"/>
      <c r="J1821" s="77"/>
      <c r="K1821" s="81" t="b">
        <v>0</v>
      </c>
      <c r="L1821" s="78"/>
      <c r="M1821" s="82"/>
      <c r="N1821" s="78"/>
      <c r="O1821" s="78"/>
      <c r="P1821" s="78"/>
      <c r="Q1821" s="78"/>
      <c r="R1821" s="78"/>
      <c r="S1821" s="78"/>
      <c r="T1821" s="83"/>
    </row>
    <row r="1822" spans="1:20" ht="15" customHeight="1" x14ac:dyDescent="0.3">
      <c r="A1822" s="73"/>
      <c r="B1822" s="74"/>
      <c r="C1822" s="75"/>
      <c r="D1822" s="76"/>
      <c r="E1822" s="77"/>
      <c r="F1822" s="78"/>
      <c r="G1822" s="78"/>
      <c r="H1822" s="79"/>
      <c r="I1822" s="80"/>
      <c r="J1822" s="77"/>
      <c r="K1822" s="81" t="b">
        <v>0</v>
      </c>
      <c r="L1822" s="78"/>
      <c r="M1822" s="82"/>
      <c r="N1822" s="78"/>
      <c r="O1822" s="78"/>
      <c r="P1822" s="78"/>
      <c r="Q1822" s="78"/>
      <c r="R1822" s="78"/>
      <c r="S1822" s="78"/>
      <c r="T1822" s="83"/>
    </row>
    <row r="1823" spans="1:20" ht="15" customHeight="1" x14ac:dyDescent="0.3">
      <c r="A1823" s="73"/>
      <c r="B1823" s="74"/>
      <c r="C1823" s="75"/>
      <c r="D1823" s="76"/>
      <c r="E1823" s="77"/>
      <c r="F1823" s="78"/>
      <c r="G1823" s="78"/>
      <c r="H1823" s="79"/>
      <c r="I1823" s="80"/>
      <c r="J1823" s="77"/>
      <c r="K1823" s="81" t="b">
        <v>0</v>
      </c>
      <c r="L1823" s="78"/>
      <c r="M1823" s="82"/>
      <c r="N1823" s="78"/>
      <c r="O1823" s="78"/>
      <c r="P1823" s="78"/>
      <c r="Q1823" s="78"/>
      <c r="R1823" s="78"/>
      <c r="S1823" s="78"/>
      <c r="T1823" s="83"/>
    </row>
    <row r="1824" spans="1:20" ht="15" customHeight="1" x14ac:dyDescent="0.3">
      <c r="A1824" s="73"/>
      <c r="B1824" s="74"/>
      <c r="C1824" s="75"/>
      <c r="D1824" s="76"/>
      <c r="E1824" s="77"/>
      <c r="F1824" s="78"/>
      <c r="G1824" s="78"/>
      <c r="H1824" s="79"/>
      <c r="I1824" s="80"/>
      <c r="J1824" s="77"/>
      <c r="K1824" s="81" t="b">
        <v>0</v>
      </c>
      <c r="L1824" s="78"/>
      <c r="M1824" s="82"/>
      <c r="N1824" s="78"/>
      <c r="O1824" s="78"/>
      <c r="P1824" s="78"/>
      <c r="Q1824" s="78"/>
      <c r="R1824" s="78"/>
      <c r="S1824" s="78"/>
      <c r="T1824" s="83"/>
    </row>
    <row r="1825" spans="1:20" ht="15" customHeight="1" x14ac:dyDescent="0.3">
      <c r="A1825" s="73"/>
      <c r="B1825" s="74"/>
      <c r="C1825" s="75"/>
      <c r="D1825" s="76"/>
      <c r="E1825" s="77"/>
      <c r="F1825" s="78"/>
      <c r="G1825" s="78"/>
      <c r="H1825" s="79"/>
      <c r="I1825" s="80"/>
      <c r="J1825" s="77"/>
      <c r="K1825" s="81" t="b">
        <v>0</v>
      </c>
      <c r="L1825" s="78"/>
      <c r="M1825" s="82"/>
      <c r="N1825" s="78"/>
      <c r="O1825" s="78"/>
      <c r="P1825" s="78"/>
      <c r="Q1825" s="78"/>
      <c r="R1825" s="78"/>
      <c r="S1825" s="78"/>
      <c r="T1825" s="83"/>
    </row>
    <row r="1826" spans="1:20" ht="15" customHeight="1" x14ac:dyDescent="0.3">
      <c r="A1826" s="73"/>
      <c r="B1826" s="74"/>
      <c r="C1826" s="75"/>
      <c r="D1826" s="76"/>
      <c r="E1826" s="77"/>
      <c r="F1826" s="78"/>
      <c r="G1826" s="78"/>
      <c r="H1826" s="79"/>
      <c r="I1826" s="80"/>
      <c r="J1826" s="77"/>
      <c r="K1826" s="81" t="b">
        <v>0</v>
      </c>
      <c r="L1826" s="78"/>
      <c r="M1826" s="82"/>
      <c r="N1826" s="78"/>
      <c r="O1826" s="78"/>
      <c r="P1826" s="78"/>
      <c r="Q1826" s="78"/>
      <c r="R1826" s="78"/>
      <c r="S1826" s="78"/>
      <c r="T1826" s="83"/>
    </row>
    <row r="1827" spans="1:20" ht="15" customHeight="1" x14ac:dyDescent="0.3">
      <c r="A1827" s="73"/>
      <c r="B1827" s="74"/>
      <c r="C1827" s="75"/>
      <c r="D1827" s="76"/>
      <c r="E1827" s="77"/>
      <c r="F1827" s="78"/>
      <c r="G1827" s="78"/>
      <c r="H1827" s="79"/>
      <c r="I1827" s="80"/>
      <c r="J1827" s="77"/>
      <c r="K1827" s="81" t="b">
        <v>0</v>
      </c>
      <c r="L1827" s="78"/>
      <c r="M1827" s="82"/>
      <c r="N1827" s="78"/>
      <c r="O1827" s="78"/>
      <c r="P1827" s="78"/>
      <c r="Q1827" s="78"/>
      <c r="R1827" s="78"/>
      <c r="S1827" s="78"/>
      <c r="T1827" s="83"/>
    </row>
    <row r="1828" spans="1:20" ht="15" customHeight="1" x14ac:dyDescent="0.3">
      <c r="A1828" s="73"/>
      <c r="B1828" s="74"/>
      <c r="C1828" s="75"/>
      <c r="D1828" s="76"/>
      <c r="E1828" s="77"/>
      <c r="F1828" s="78"/>
      <c r="G1828" s="78"/>
      <c r="H1828" s="79"/>
      <c r="I1828" s="80"/>
      <c r="J1828" s="77"/>
      <c r="K1828" s="81" t="b">
        <v>0</v>
      </c>
      <c r="L1828" s="78"/>
      <c r="M1828" s="82"/>
      <c r="N1828" s="78"/>
      <c r="O1828" s="78"/>
      <c r="P1828" s="78"/>
      <c r="Q1828" s="78"/>
      <c r="R1828" s="78"/>
      <c r="S1828" s="78"/>
      <c r="T1828" s="83"/>
    </row>
    <row r="1829" spans="1:20" ht="15" customHeight="1" x14ac:dyDescent="0.3">
      <c r="A1829" s="73"/>
      <c r="B1829" s="74"/>
      <c r="C1829" s="75"/>
      <c r="D1829" s="76"/>
      <c r="E1829" s="77"/>
      <c r="F1829" s="78"/>
      <c r="G1829" s="78"/>
      <c r="H1829" s="79"/>
      <c r="I1829" s="80"/>
      <c r="J1829" s="77"/>
      <c r="K1829" s="81" t="b">
        <v>0</v>
      </c>
      <c r="L1829" s="78"/>
      <c r="M1829" s="82"/>
      <c r="N1829" s="78"/>
      <c r="O1829" s="78"/>
      <c r="P1829" s="78"/>
      <c r="Q1829" s="78"/>
      <c r="R1829" s="78"/>
      <c r="S1829" s="78"/>
      <c r="T1829" s="83"/>
    </row>
    <row r="1830" spans="1:20" ht="15" customHeight="1" x14ac:dyDescent="0.3">
      <c r="A1830" s="73"/>
      <c r="B1830" s="74"/>
      <c r="C1830" s="75"/>
      <c r="D1830" s="76"/>
      <c r="E1830" s="77"/>
      <c r="F1830" s="78"/>
      <c r="G1830" s="78"/>
      <c r="H1830" s="79"/>
      <c r="I1830" s="80"/>
      <c r="J1830" s="77"/>
      <c r="K1830" s="81" t="b">
        <v>0</v>
      </c>
      <c r="L1830" s="78"/>
      <c r="M1830" s="82"/>
      <c r="N1830" s="78"/>
      <c r="O1830" s="78"/>
      <c r="P1830" s="78"/>
      <c r="Q1830" s="78"/>
      <c r="R1830" s="78"/>
      <c r="S1830" s="78"/>
      <c r="T1830" s="83"/>
    </row>
    <row r="1831" spans="1:20" ht="15" customHeight="1" x14ac:dyDescent="0.3">
      <c r="A1831" s="73"/>
      <c r="B1831" s="74"/>
      <c r="C1831" s="75"/>
      <c r="D1831" s="76"/>
      <c r="E1831" s="77"/>
      <c r="F1831" s="78"/>
      <c r="G1831" s="78"/>
      <c r="H1831" s="79"/>
      <c r="I1831" s="80"/>
      <c r="J1831" s="77"/>
      <c r="K1831" s="81" t="b">
        <v>0</v>
      </c>
      <c r="L1831" s="78"/>
      <c r="M1831" s="82"/>
      <c r="N1831" s="78"/>
      <c r="O1831" s="78"/>
      <c r="P1831" s="78"/>
      <c r="Q1831" s="78"/>
      <c r="R1831" s="78"/>
      <c r="S1831" s="78"/>
      <c r="T1831" s="83"/>
    </row>
    <row r="1832" spans="1:20" ht="15" customHeight="1" x14ac:dyDescent="0.3">
      <c r="A1832" s="73"/>
      <c r="B1832" s="74"/>
      <c r="C1832" s="75"/>
      <c r="D1832" s="76"/>
      <c r="E1832" s="77"/>
      <c r="F1832" s="78"/>
      <c r="G1832" s="78"/>
      <c r="H1832" s="79"/>
      <c r="I1832" s="80"/>
      <c r="J1832" s="77"/>
      <c r="K1832" s="81" t="b">
        <v>0</v>
      </c>
      <c r="L1832" s="78"/>
      <c r="M1832" s="82"/>
      <c r="N1832" s="78"/>
      <c r="O1832" s="78"/>
      <c r="P1832" s="78"/>
      <c r="Q1832" s="78"/>
      <c r="R1832" s="78"/>
      <c r="S1832" s="78"/>
      <c r="T1832" s="83"/>
    </row>
    <row r="1833" spans="1:20" ht="15" customHeight="1" x14ac:dyDescent="0.3">
      <c r="A1833" s="73"/>
      <c r="B1833" s="74"/>
      <c r="C1833" s="75"/>
      <c r="D1833" s="76"/>
      <c r="E1833" s="77"/>
      <c r="F1833" s="78"/>
      <c r="G1833" s="78"/>
      <c r="H1833" s="79"/>
      <c r="I1833" s="80"/>
      <c r="J1833" s="77"/>
      <c r="K1833" s="81" t="b">
        <v>0</v>
      </c>
      <c r="L1833" s="78"/>
      <c r="M1833" s="82"/>
      <c r="N1833" s="78"/>
      <c r="O1833" s="78"/>
      <c r="P1833" s="78"/>
      <c r="Q1833" s="78"/>
      <c r="R1833" s="78"/>
      <c r="S1833" s="78"/>
      <c r="T1833" s="83"/>
    </row>
    <row r="1834" spans="1:20" ht="15" customHeight="1" x14ac:dyDescent="0.3">
      <c r="A1834" s="73"/>
      <c r="B1834" s="74"/>
      <c r="C1834" s="75"/>
      <c r="D1834" s="76"/>
      <c r="E1834" s="77"/>
      <c r="F1834" s="78"/>
      <c r="G1834" s="78"/>
      <c r="H1834" s="79"/>
      <c r="I1834" s="80"/>
      <c r="J1834" s="77"/>
      <c r="K1834" s="81" t="b">
        <v>0</v>
      </c>
      <c r="L1834" s="78"/>
      <c r="M1834" s="82"/>
      <c r="N1834" s="78"/>
      <c r="O1834" s="78"/>
      <c r="P1834" s="78"/>
      <c r="Q1834" s="78"/>
      <c r="R1834" s="78"/>
      <c r="S1834" s="78"/>
      <c r="T1834" s="83"/>
    </row>
    <row r="1835" spans="1:20" ht="15" customHeight="1" x14ac:dyDescent="0.3">
      <c r="A1835" s="73"/>
      <c r="B1835" s="74"/>
      <c r="C1835" s="75"/>
      <c r="D1835" s="76"/>
      <c r="E1835" s="77"/>
      <c r="F1835" s="78"/>
      <c r="G1835" s="78"/>
      <c r="H1835" s="79"/>
      <c r="I1835" s="80"/>
      <c r="J1835" s="77"/>
      <c r="K1835" s="81" t="b">
        <v>0</v>
      </c>
      <c r="L1835" s="78"/>
      <c r="M1835" s="82"/>
      <c r="N1835" s="78"/>
      <c r="O1835" s="78"/>
      <c r="P1835" s="78"/>
      <c r="Q1835" s="78"/>
      <c r="R1835" s="78"/>
      <c r="S1835" s="78"/>
      <c r="T1835" s="83"/>
    </row>
    <row r="1836" spans="1:20" ht="15" customHeight="1" x14ac:dyDescent="0.3">
      <c r="A1836" s="73"/>
      <c r="B1836" s="74"/>
      <c r="C1836" s="75"/>
      <c r="D1836" s="76"/>
      <c r="E1836" s="77"/>
      <c r="F1836" s="78"/>
      <c r="G1836" s="78"/>
      <c r="H1836" s="79"/>
      <c r="I1836" s="80"/>
      <c r="J1836" s="77"/>
      <c r="K1836" s="81" t="b">
        <v>0</v>
      </c>
      <c r="L1836" s="78"/>
      <c r="M1836" s="82"/>
      <c r="N1836" s="78"/>
      <c r="O1836" s="78"/>
      <c r="P1836" s="78"/>
      <c r="Q1836" s="78"/>
      <c r="R1836" s="78"/>
      <c r="S1836" s="78"/>
      <c r="T1836" s="83"/>
    </row>
    <row r="1837" spans="1:20" ht="15" customHeight="1" x14ac:dyDescent="0.3">
      <c r="A1837" s="73"/>
      <c r="B1837" s="74"/>
      <c r="C1837" s="75"/>
      <c r="D1837" s="76"/>
      <c r="E1837" s="77"/>
      <c r="F1837" s="78"/>
      <c r="G1837" s="78"/>
      <c r="H1837" s="79"/>
      <c r="I1837" s="80"/>
      <c r="J1837" s="77"/>
      <c r="K1837" s="81" t="b">
        <v>0</v>
      </c>
      <c r="L1837" s="78"/>
      <c r="M1837" s="82"/>
      <c r="N1837" s="78"/>
      <c r="O1837" s="78"/>
      <c r="P1837" s="78"/>
      <c r="Q1837" s="78"/>
      <c r="R1837" s="78"/>
      <c r="S1837" s="78"/>
      <c r="T1837" s="83"/>
    </row>
    <row r="1838" spans="1:20" ht="15" customHeight="1" x14ac:dyDescent="0.3">
      <c r="A1838" s="73"/>
      <c r="B1838" s="74"/>
      <c r="C1838" s="75"/>
      <c r="D1838" s="76"/>
      <c r="E1838" s="77"/>
      <c r="F1838" s="78"/>
      <c r="G1838" s="78"/>
      <c r="H1838" s="79"/>
      <c r="I1838" s="80"/>
      <c r="J1838" s="77"/>
      <c r="K1838" s="81" t="b">
        <v>0</v>
      </c>
      <c r="L1838" s="78"/>
      <c r="M1838" s="82"/>
      <c r="N1838" s="78"/>
      <c r="O1838" s="78"/>
      <c r="P1838" s="78"/>
      <c r="Q1838" s="78"/>
      <c r="R1838" s="78"/>
      <c r="S1838" s="78"/>
      <c r="T1838" s="83"/>
    </row>
    <row r="1839" spans="1:20" ht="15" customHeight="1" x14ac:dyDescent="0.3">
      <c r="A1839" s="73"/>
      <c r="B1839" s="74"/>
      <c r="C1839" s="75"/>
      <c r="D1839" s="76"/>
      <c r="E1839" s="77"/>
      <c r="F1839" s="78"/>
      <c r="G1839" s="78"/>
      <c r="H1839" s="79"/>
      <c r="I1839" s="80"/>
      <c r="J1839" s="77"/>
      <c r="K1839" s="81" t="b">
        <v>0</v>
      </c>
      <c r="L1839" s="78"/>
      <c r="M1839" s="82"/>
      <c r="N1839" s="78"/>
      <c r="O1839" s="78"/>
      <c r="P1839" s="78"/>
      <c r="Q1839" s="78"/>
      <c r="R1839" s="78"/>
      <c r="S1839" s="78"/>
      <c r="T1839" s="83"/>
    </row>
    <row r="1840" spans="1:20" ht="15" customHeight="1" x14ac:dyDescent="0.3">
      <c r="A1840" s="73"/>
      <c r="B1840" s="74"/>
      <c r="C1840" s="75"/>
      <c r="D1840" s="76"/>
      <c r="E1840" s="77"/>
      <c r="F1840" s="78"/>
      <c r="G1840" s="78"/>
      <c r="H1840" s="79"/>
      <c r="I1840" s="80"/>
      <c r="J1840" s="77"/>
      <c r="K1840" s="81" t="b">
        <v>0</v>
      </c>
      <c r="L1840" s="78"/>
      <c r="M1840" s="82"/>
      <c r="N1840" s="78"/>
      <c r="O1840" s="78"/>
      <c r="P1840" s="78"/>
      <c r="Q1840" s="78"/>
      <c r="R1840" s="78"/>
      <c r="S1840" s="78"/>
      <c r="T1840" s="83"/>
    </row>
    <row r="1841" spans="1:20" ht="15" customHeight="1" x14ac:dyDescent="0.3">
      <c r="A1841" s="73"/>
      <c r="B1841" s="74"/>
      <c r="C1841" s="75"/>
      <c r="D1841" s="76"/>
      <c r="E1841" s="77"/>
      <c r="F1841" s="78"/>
      <c r="G1841" s="78"/>
      <c r="H1841" s="79"/>
      <c r="I1841" s="80"/>
      <c r="J1841" s="77"/>
      <c r="K1841" s="81" t="b">
        <v>0</v>
      </c>
      <c r="L1841" s="78"/>
      <c r="M1841" s="82"/>
      <c r="N1841" s="78"/>
      <c r="O1841" s="78"/>
      <c r="P1841" s="78"/>
      <c r="Q1841" s="78"/>
      <c r="R1841" s="78"/>
      <c r="S1841" s="78"/>
      <c r="T1841" s="83"/>
    </row>
    <row r="1842" spans="1:20" ht="15" customHeight="1" x14ac:dyDescent="0.3">
      <c r="A1842" s="73"/>
      <c r="B1842" s="74"/>
      <c r="C1842" s="75"/>
      <c r="D1842" s="76"/>
      <c r="E1842" s="77"/>
      <c r="F1842" s="78"/>
      <c r="G1842" s="78"/>
      <c r="H1842" s="79"/>
      <c r="I1842" s="80"/>
      <c r="J1842" s="77"/>
      <c r="K1842" s="81" t="b">
        <v>0</v>
      </c>
      <c r="L1842" s="78"/>
      <c r="M1842" s="82"/>
      <c r="N1842" s="78"/>
      <c r="O1842" s="78"/>
      <c r="P1842" s="78"/>
      <c r="Q1842" s="78"/>
      <c r="R1842" s="78"/>
      <c r="S1842" s="78"/>
      <c r="T1842" s="83"/>
    </row>
    <row r="1843" spans="1:20" ht="15" customHeight="1" x14ac:dyDescent="0.3">
      <c r="A1843" s="73"/>
      <c r="B1843" s="74"/>
      <c r="C1843" s="75"/>
      <c r="D1843" s="76"/>
      <c r="E1843" s="77"/>
      <c r="F1843" s="78"/>
      <c r="G1843" s="78"/>
      <c r="H1843" s="79"/>
      <c r="I1843" s="80"/>
      <c r="J1843" s="77"/>
      <c r="K1843" s="81" t="b">
        <v>0</v>
      </c>
      <c r="L1843" s="78"/>
      <c r="M1843" s="82"/>
      <c r="N1843" s="78"/>
      <c r="O1843" s="78"/>
      <c r="P1843" s="78"/>
      <c r="Q1843" s="78"/>
      <c r="R1843" s="78"/>
      <c r="S1843" s="78"/>
      <c r="T1843" s="83"/>
    </row>
    <row r="1844" spans="1:20" ht="15" customHeight="1" x14ac:dyDescent="0.3">
      <c r="A1844" s="73"/>
      <c r="B1844" s="74"/>
      <c r="C1844" s="75"/>
      <c r="D1844" s="76"/>
      <c r="E1844" s="77"/>
      <c r="F1844" s="78"/>
      <c r="G1844" s="78"/>
      <c r="H1844" s="79"/>
      <c r="I1844" s="80"/>
      <c r="J1844" s="77"/>
      <c r="K1844" s="81" t="b">
        <v>0</v>
      </c>
      <c r="L1844" s="78"/>
      <c r="M1844" s="82"/>
      <c r="N1844" s="78"/>
      <c r="O1844" s="78"/>
      <c r="P1844" s="78"/>
      <c r="Q1844" s="78"/>
      <c r="R1844" s="78"/>
      <c r="S1844" s="78"/>
      <c r="T1844" s="83"/>
    </row>
    <row r="1845" spans="1:20" ht="15" customHeight="1" x14ac:dyDescent="0.3">
      <c r="A1845" s="73"/>
      <c r="B1845" s="74"/>
      <c r="C1845" s="75"/>
      <c r="D1845" s="76"/>
      <c r="E1845" s="77"/>
      <c r="F1845" s="78"/>
      <c r="G1845" s="78"/>
      <c r="H1845" s="79"/>
      <c r="I1845" s="80"/>
      <c r="J1845" s="77"/>
      <c r="K1845" s="81" t="b">
        <v>0</v>
      </c>
      <c r="L1845" s="78"/>
      <c r="M1845" s="82"/>
      <c r="N1845" s="78"/>
      <c r="O1845" s="78"/>
      <c r="P1845" s="78"/>
      <c r="Q1845" s="78"/>
      <c r="R1845" s="78"/>
      <c r="S1845" s="78"/>
      <c r="T1845" s="83"/>
    </row>
    <row r="1846" spans="1:20" ht="15" customHeight="1" x14ac:dyDescent="0.3">
      <c r="A1846" s="73"/>
      <c r="B1846" s="74"/>
      <c r="C1846" s="75"/>
      <c r="D1846" s="76"/>
      <c r="E1846" s="77"/>
      <c r="F1846" s="78"/>
      <c r="G1846" s="78"/>
      <c r="H1846" s="79"/>
      <c r="I1846" s="80"/>
      <c r="J1846" s="77"/>
      <c r="K1846" s="81" t="b">
        <v>0</v>
      </c>
      <c r="L1846" s="78"/>
      <c r="M1846" s="82"/>
      <c r="N1846" s="78"/>
      <c r="O1846" s="78"/>
      <c r="P1846" s="78"/>
      <c r="Q1846" s="78"/>
      <c r="R1846" s="78"/>
      <c r="S1846" s="78"/>
      <c r="T1846" s="83"/>
    </row>
    <row r="1847" spans="1:20" ht="15" customHeight="1" x14ac:dyDescent="0.3">
      <c r="A1847" s="73"/>
      <c r="B1847" s="74"/>
      <c r="C1847" s="75"/>
      <c r="D1847" s="76"/>
      <c r="E1847" s="77"/>
      <c r="F1847" s="78"/>
      <c r="G1847" s="78"/>
      <c r="H1847" s="79"/>
      <c r="I1847" s="80"/>
      <c r="J1847" s="77"/>
      <c r="K1847" s="81" t="b">
        <v>0</v>
      </c>
      <c r="L1847" s="78"/>
      <c r="M1847" s="82"/>
      <c r="N1847" s="78"/>
      <c r="O1847" s="78"/>
      <c r="P1847" s="78"/>
      <c r="Q1847" s="78"/>
      <c r="R1847" s="78"/>
      <c r="S1847" s="78"/>
      <c r="T1847" s="83"/>
    </row>
    <row r="1848" spans="1:20" ht="15" customHeight="1" x14ac:dyDescent="0.3">
      <c r="A1848" s="73"/>
      <c r="B1848" s="74"/>
      <c r="C1848" s="75"/>
      <c r="D1848" s="76"/>
      <c r="E1848" s="77"/>
      <c r="F1848" s="78"/>
      <c r="G1848" s="78"/>
      <c r="H1848" s="79"/>
      <c r="I1848" s="80"/>
      <c r="J1848" s="77"/>
      <c r="K1848" s="81" t="b">
        <v>0</v>
      </c>
      <c r="L1848" s="78"/>
      <c r="M1848" s="82"/>
      <c r="N1848" s="78"/>
      <c r="O1848" s="78"/>
      <c r="P1848" s="78"/>
      <c r="Q1848" s="78"/>
      <c r="R1848" s="78"/>
      <c r="S1848" s="78"/>
      <c r="T1848" s="83"/>
    </row>
    <row r="1849" spans="1:20" ht="15" customHeight="1" x14ac:dyDescent="0.3">
      <c r="A1849" s="73"/>
      <c r="B1849" s="74"/>
      <c r="C1849" s="75"/>
      <c r="D1849" s="76"/>
      <c r="E1849" s="77"/>
      <c r="F1849" s="78"/>
      <c r="G1849" s="78"/>
      <c r="H1849" s="79"/>
      <c r="I1849" s="80"/>
      <c r="J1849" s="77"/>
      <c r="K1849" s="81" t="b">
        <v>0</v>
      </c>
      <c r="L1849" s="78"/>
      <c r="M1849" s="82"/>
      <c r="N1849" s="78"/>
      <c r="O1849" s="78"/>
      <c r="P1849" s="78"/>
      <c r="Q1849" s="78"/>
      <c r="R1849" s="78"/>
      <c r="S1849" s="78"/>
      <c r="T1849" s="83"/>
    </row>
    <row r="1850" spans="1:20" ht="15" customHeight="1" x14ac:dyDescent="0.3">
      <c r="A1850" s="73"/>
      <c r="B1850" s="74"/>
      <c r="C1850" s="75"/>
      <c r="D1850" s="76"/>
      <c r="E1850" s="77"/>
      <c r="F1850" s="78"/>
      <c r="G1850" s="78"/>
      <c r="H1850" s="79"/>
      <c r="I1850" s="80"/>
      <c r="J1850" s="77"/>
      <c r="K1850" s="81" t="b">
        <v>0</v>
      </c>
      <c r="L1850" s="78"/>
      <c r="M1850" s="82"/>
      <c r="N1850" s="78"/>
      <c r="O1850" s="78"/>
      <c r="P1850" s="78"/>
      <c r="Q1850" s="78"/>
      <c r="R1850" s="78"/>
      <c r="S1850" s="78"/>
      <c r="T1850" s="83"/>
    </row>
    <row r="1851" spans="1:20" ht="15" customHeight="1" x14ac:dyDescent="0.3">
      <c r="A1851" s="73"/>
      <c r="B1851" s="74"/>
      <c r="C1851" s="75"/>
      <c r="D1851" s="76"/>
      <c r="E1851" s="77"/>
      <c r="F1851" s="78"/>
      <c r="G1851" s="78"/>
      <c r="H1851" s="79"/>
      <c r="I1851" s="80"/>
      <c r="J1851" s="77"/>
      <c r="K1851" s="81" t="b">
        <v>0</v>
      </c>
      <c r="L1851" s="78"/>
      <c r="M1851" s="82"/>
      <c r="N1851" s="78"/>
      <c r="O1851" s="78"/>
      <c r="P1851" s="78"/>
      <c r="Q1851" s="78"/>
      <c r="R1851" s="78"/>
      <c r="S1851" s="78"/>
      <c r="T1851" s="83"/>
    </row>
    <row r="1852" spans="1:20" ht="15" customHeight="1" x14ac:dyDescent="0.3">
      <c r="A1852" s="73"/>
      <c r="B1852" s="74"/>
      <c r="C1852" s="75"/>
      <c r="D1852" s="76"/>
      <c r="E1852" s="77"/>
      <c r="F1852" s="78"/>
      <c r="G1852" s="78"/>
      <c r="H1852" s="79"/>
      <c r="I1852" s="80"/>
      <c r="J1852" s="77"/>
      <c r="K1852" s="81" t="b">
        <v>0</v>
      </c>
      <c r="L1852" s="78"/>
      <c r="M1852" s="82"/>
      <c r="N1852" s="78"/>
      <c r="O1852" s="78"/>
      <c r="P1852" s="78"/>
      <c r="Q1852" s="78"/>
      <c r="R1852" s="78"/>
      <c r="S1852" s="78"/>
      <c r="T1852" s="83"/>
    </row>
    <row r="1853" spans="1:20" ht="15" customHeight="1" x14ac:dyDescent="0.3">
      <c r="A1853" s="73"/>
      <c r="B1853" s="74"/>
      <c r="C1853" s="75"/>
      <c r="D1853" s="76"/>
      <c r="E1853" s="77"/>
      <c r="F1853" s="78"/>
      <c r="G1853" s="78"/>
      <c r="H1853" s="79"/>
      <c r="I1853" s="80"/>
      <c r="J1853" s="77"/>
      <c r="K1853" s="81" t="b">
        <v>0</v>
      </c>
      <c r="L1853" s="78"/>
      <c r="M1853" s="82"/>
      <c r="N1853" s="78"/>
      <c r="O1853" s="78"/>
      <c r="P1853" s="78"/>
      <c r="Q1853" s="78"/>
      <c r="R1853" s="78"/>
      <c r="S1853" s="78"/>
      <c r="T1853" s="83"/>
    </row>
    <row r="1854" spans="1:20" ht="15" customHeight="1" x14ac:dyDescent="0.3">
      <c r="A1854" s="73"/>
      <c r="B1854" s="74"/>
      <c r="C1854" s="75"/>
      <c r="D1854" s="76"/>
      <c r="E1854" s="77"/>
      <c r="F1854" s="78"/>
      <c r="G1854" s="78"/>
      <c r="H1854" s="79"/>
      <c r="I1854" s="80"/>
      <c r="J1854" s="77"/>
      <c r="K1854" s="81" t="b">
        <v>0</v>
      </c>
      <c r="L1854" s="78"/>
      <c r="M1854" s="82"/>
      <c r="N1854" s="78"/>
      <c r="O1854" s="78"/>
      <c r="P1854" s="78"/>
      <c r="Q1854" s="78"/>
      <c r="R1854" s="78"/>
      <c r="S1854" s="78"/>
      <c r="T1854" s="83"/>
    </row>
    <row r="1855" spans="1:20" ht="15" customHeight="1" x14ac:dyDescent="0.3">
      <c r="A1855" s="73"/>
      <c r="B1855" s="74"/>
      <c r="C1855" s="75"/>
      <c r="D1855" s="76"/>
      <c r="E1855" s="77"/>
      <c r="F1855" s="78"/>
      <c r="G1855" s="78"/>
      <c r="H1855" s="79"/>
      <c r="I1855" s="80"/>
      <c r="J1855" s="77"/>
      <c r="K1855" s="81" t="b">
        <v>0</v>
      </c>
      <c r="L1855" s="78"/>
      <c r="M1855" s="82"/>
      <c r="N1855" s="78"/>
      <c r="O1855" s="78"/>
      <c r="P1855" s="78"/>
      <c r="Q1855" s="78"/>
      <c r="R1855" s="78"/>
      <c r="S1855" s="78"/>
      <c r="T1855" s="83"/>
    </row>
    <row r="1856" spans="1:20" ht="15" customHeight="1" x14ac:dyDescent="0.3">
      <c r="A1856" s="73"/>
      <c r="B1856" s="74"/>
      <c r="C1856" s="75"/>
      <c r="D1856" s="76"/>
      <c r="E1856" s="77"/>
      <c r="F1856" s="78"/>
      <c r="G1856" s="78"/>
      <c r="H1856" s="79"/>
      <c r="I1856" s="80"/>
      <c r="J1856" s="77"/>
      <c r="K1856" s="81" t="b">
        <v>0</v>
      </c>
      <c r="L1856" s="78"/>
      <c r="M1856" s="82"/>
      <c r="N1856" s="78"/>
      <c r="O1856" s="78"/>
      <c r="P1856" s="78"/>
      <c r="Q1856" s="78"/>
      <c r="R1856" s="78"/>
      <c r="S1856" s="78"/>
      <c r="T1856" s="83"/>
    </row>
    <row r="1857" spans="1:20" ht="15" customHeight="1" x14ac:dyDescent="0.3">
      <c r="A1857" s="73"/>
      <c r="B1857" s="74"/>
      <c r="C1857" s="75"/>
      <c r="D1857" s="76"/>
      <c r="E1857" s="77"/>
      <c r="F1857" s="78"/>
      <c r="G1857" s="78"/>
      <c r="H1857" s="79"/>
      <c r="I1857" s="80"/>
      <c r="J1857" s="77"/>
      <c r="K1857" s="81" t="b">
        <v>0</v>
      </c>
      <c r="L1857" s="78"/>
      <c r="M1857" s="82"/>
      <c r="N1857" s="78"/>
      <c r="O1857" s="78"/>
      <c r="P1857" s="78"/>
      <c r="Q1857" s="78"/>
      <c r="R1857" s="78"/>
      <c r="S1857" s="78"/>
      <c r="T1857" s="83"/>
    </row>
    <row r="1858" spans="1:20" ht="15" customHeight="1" x14ac:dyDescent="0.3">
      <c r="A1858" s="73"/>
      <c r="B1858" s="74"/>
      <c r="C1858" s="75"/>
      <c r="D1858" s="76"/>
      <c r="E1858" s="77"/>
      <c r="F1858" s="78"/>
      <c r="G1858" s="78"/>
      <c r="H1858" s="79"/>
      <c r="I1858" s="80"/>
      <c r="J1858" s="77"/>
      <c r="K1858" s="81" t="b">
        <v>0</v>
      </c>
      <c r="L1858" s="78"/>
      <c r="M1858" s="82"/>
      <c r="N1858" s="78"/>
      <c r="O1858" s="78"/>
      <c r="P1858" s="78"/>
      <c r="Q1858" s="78"/>
      <c r="R1858" s="78"/>
      <c r="S1858" s="78"/>
      <c r="T1858" s="83"/>
    </row>
    <row r="1859" spans="1:20" ht="15" customHeight="1" x14ac:dyDescent="0.3">
      <c r="A1859" s="73"/>
      <c r="B1859" s="74"/>
      <c r="C1859" s="75"/>
      <c r="D1859" s="76"/>
      <c r="E1859" s="77"/>
      <c r="F1859" s="78"/>
      <c r="G1859" s="78"/>
      <c r="H1859" s="79"/>
      <c r="I1859" s="80"/>
      <c r="J1859" s="77"/>
      <c r="K1859" s="81" t="b">
        <v>0</v>
      </c>
      <c r="L1859" s="78"/>
      <c r="M1859" s="82"/>
      <c r="N1859" s="78"/>
      <c r="O1859" s="78"/>
      <c r="P1859" s="78"/>
      <c r="Q1859" s="78"/>
      <c r="R1859" s="78"/>
      <c r="S1859" s="78"/>
      <c r="T1859" s="83"/>
    </row>
    <row r="1860" spans="1:20" ht="15" customHeight="1" x14ac:dyDescent="0.3">
      <c r="A1860" s="73"/>
      <c r="B1860" s="74"/>
      <c r="C1860" s="75"/>
      <c r="D1860" s="76"/>
      <c r="E1860" s="77"/>
      <c r="F1860" s="78"/>
      <c r="G1860" s="78"/>
      <c r="H1860" s="79"/>
      <c r="I1860" s="80"/>
      <c r="J1860" s="77"/>
      <c r="K1860" s="81" t="b">
        <v>0</v>
      </c>
      <c r="L1860" s="78"/>
      <c r="M1860" s="82"/>
      <c r="N1860" s="78"/>
      <c r="O1860" s="78"/>
      <c r="P1860" s="78"/>
      <c r="Q1860" s="78"/>
      <c r="R1860" s="78"/>
      <c r="S1860" s="78"/>
      <c r="T1860" s="83"/>
    </row>
    <row r="1861" spans="1:20" ht="15" customHeight="1" x14ac:dyDescent="0.3">
      <c r="A1861" s="73"/>
      <c r="B1861" s="74"/>
      <c r="C1861" s="75"/>
      <c r="D1861" s="76"/>
      <c r="E1861" s="77"/>
      <c r="F1861" s="78"/>
      <c r="G1861" s="78"/>
      <c r="H1861" s="79"/>
      <c r="I1861" s="80"/>
      <c r="J1861" s="77"/>
      <c r="K1861" s="81" t="b">
        <v>0</v>
      </c>
      <c r="L1861" s="78"/>
      <c r="M1861" s="82"/>
      <c r="N1861" s="78"/>
      <c r="O1861" s="78"/>
      <c r="P1861" s="78"/>
      <c r="Q1861" s="78"/>
      <c r="R1861" s="78"/>
      <c r="S1861" s="78"/>
      <c r="T1861" s="83"/>
    </row>
    <row r="1862" spans="1:20" ht="15" customHeight="1" x14ac:dyDescent="0.3">
      <c r="A1862" s="73"/>
      <c r="B1862" s="74"/>
      <c r="C1862" s="75"/>
      <c r="D1862" s="76"/>
      <c r="E1862" s="77"/>
      <c r="F1862" s="78"/>
      <c r="G1862" s="78"/>
      <c r="H1862" s="79"/>
      <c r="I1862" s="80"/>
      <c r="J1862" s="77"/>
      <c r="K1862" s="81" t="b">
        <v>0</v>
      </c>
      <c r="L1862" s="78"/>
      <c r="M1862" s="82"/>
      <c r="N1862" s="78"/>
      <c r="O1862" s="78"/>
      <c r="P1862" s="78"/>
      <c r="Q1862" s="78"/>
      <c r="R1862" s="78"/>
      <c r="S1862" s="78"/>
      <c r="T1862" s="83"/>
    </row>
    <row r="1863" spans="1:20" ht="15" customHeight="1" x14ac:dyDescent="0.3">
      <c r="A1863" s="73"/>
      <c r="B1863" s="74"/>
      <c r="C1863" s="75"/>
      <c r="D1863" s="76"/>
      <c r="E1863" s="77"/>
      <c r="F1863" s="78"/>
      <c r="G1863" s="78"/>
      <c r="H1863" s="79"/>
      <c r="I1863" s="80"/>
      <c r="J1863" s="77"/>
      <c r="K1863" s="81" t="b">
        <v>0</v>
      </c>
      <c r="L1863" s="78"/>
      <c r="M1863" s="82"/>
      <c r="N1863" s="78"/>
      <c r="O1863" s="78"/>
      <c r="P1863" s="78"/>
      <c r="Q1863" s="78"/>
      <c r="R1863" s="78"/>
      <c r="S1863" s="78"/>
      <c r="T1863" s="83"/>
    </row>
    <row r="1864" spans="1:20" ht="15" customHeight="1" x14ac:dyDescent="0.3">
      <c r="A1864" s="73"/>
      <c r="B1864" s="74"/>
      <c r="C1864" s="75"/>
      <c r="D1864" s="76"/>
      <c r="E1864" s="77"/>
      <c r="F1864" s="78"/>
      <c r="G1864" s="78"/>
      <c r="H1864" s="79"/>
      <c r="I1864" s="80"/>
      <c r="J1864" s="77"/>
      <c r="K1864" s="81" t="b">
        <v>0</v>
      </c>
      <c r="L1864" s="78"/>
      <c r="M1864" s="82"/>
      <c r="N1864" s="78"/>
      <c r="O1864" s="78"/>
      <c r="P1864" s="78"/>
      <c r="Q1864" s="78"/>
      <c r="R1864" s="78"/>
      <c r="S1864" s="78"/>
      <c r="T1864" s="83"/>
    </row>
    <row r="1865" spans="1:20" ht="15" customHeight="1" x14ac:dyDescent="0.3">
      <c r="A1865" s="73"/>
      <c r="B1865" s="74"/>
      <c r="C1865" s="75"/>
      <c r="D1865" s="76"/>
      <c r="E1865" s="77"/>
      <c r="F1865" s="78"/>
      <c r="G1865" s="78"/>
      <c r="H1865" s="79"/>
      <c r="I1865" s="80"/>
      <c r="J1865" s="77"/>
      <c r="K1865" s="81" t="b">
        <v>0</v>
      </c>
      <c r="L1865" s="78"/>
      <c r="M1865" s="82"/>
      <c r="N1865" s="78"/>
      <c r="O1865" s="78"/>
      <c r="P1865" s="78"/>
      <c r="Q1865" s="78"/>
      <c r="R1865" s="78"/>
      <c r="S1865" s="78"/>
      <c r="T1865" s="83"/>
    </row>
    <row r="1866" spans="1:20" ht="15" customHeight="1" x14ac:dyDescent="0.3">
      <c r="A1866" s="73"/>
      <c r="B1866" s="74"/>
      <c r="C1866" s="75"/>
      <c r="D1866" s="76"/>
      <c r="E1866" s="77"/>
      <c r="F1866" s="78"/>
      <c r="G1866" s="78"/>
      <c r="H1866" s="79"/>
      <c r="I1866" s="80"/>
      <c r="J1866" s="77"/>
      <c r="K1866" s="81" t="b">
        <v>0</v>
      </c>
      <c r="L1866" s="78"/>
      <c r="M1866" s="82"/>
      <c r="N1866" s="78"/>
      <c r="O1866" s="78"/>
      <c r="P1866" s="78"/>
      <c r="Q1866" s="78"/>
      <c r="R1866" s="78"/>
      <c r="S1866" s="78"/>
      <c r="T1866" s="83"/>
    </row>
    <row r="1867" spans="1:20" ht="15" customHeight="1" x14ac:dyDescent="0.3">
      <c r="A1867" s="73"/>
      <c r="B1867" s="74"/>
      <c r="C1867" s="75"/>
      <c r="D1867" s="76"/>
      <c r="E1867" s="77"/>
      <c r="F1867" s="78"/>
      <c r="G1867" s="78"/>
      <c r="H1867" s="79"/>
      <c r="I1867" s="80"/>
      <c r="J1867" s="77"/>
      <c r="K1867" s="81" t="b">
        <v>0</v>
      </c>
      <c r="L1867" s="78"/>
      <c r="M1867" s="82"/>
      <c r="N1867" s="78"/>
      <c r="O1867" s="78"/>
      <c r="P1867" s="78"/>
      <c r="Q1867" s="78"/>
      <c r="R1867" s="78"/>
      <c r="S1867" s="78"/>
      <c r="T1867" s="83"/>
    </row>
    <row r="1868" spans="1:20" ht="15" customHeight="1" x14ac:dyDescent="0.3">
      <c r="A1868" s="73"/>
      <c r="B1868" s="74"/>
      <c r="C1868" s="75"/>
      <c r="D1868" s="76"/>
      <c r="E1868" s="77"/>
      <c r="F1868" s="78"/>
      <c r="G1868" s="78"/>
      <c r="H1868" s="79"/>
      <c r="I1868" s="80"/>
      <c r="J1868" s="77"/>
      <c r="K1868" s="81" t="b">
        <v>0</v>
      </c>
      <c r="L1868" s="78"/>
      <c r="M1868" s="82"/>
      <c r="N1868" s="78"/>
      <c r="O1868" s="78"/>
      <c r="P1868" s="78"/>
      <c r="Q1868" s="78"/>
      <c r="R1868" s="78"/>
      <c r="S1868" s="78"/>
      <c r="T1868" s="83"/>
    </row>
    <row r="1869" spans="1:20" ht="15" customHeight="1" x14ac:dyDescent="0.3">
      <c r="A1869" s="73"/>
      <c r="B1869" s="74"/>
      <c r="C1869" s="75"/>
      <c r="D1869" s="76"/>
      <c r="E1869" s="77"/>
      <c r="F1869" s="78"/>
      <c r="G1869" s="78"/>
      <c r="H1869" s="79"/>
      <c r="I1869" s="80"/>
      <c r="J1869" s="77"/>
      <c r="K1869" s="81" t="b">
        <v>0</v>
      </c>
      <c r="L1869" s="78"/>
      <c r="M1869" s="82"/>
      <c r="N1869" s="78"/>
      <c r="O1869" s="78"/>
      <c r="P1869" s="78"/>
      <c r="Q1869" s="78"/>
      <c r="R1869" s="78"/>
      <c r="S1869" s="78"/>
      <c r="T1869" s="83"/>
    </row>
    <row r="1870" spans="1:20" ht="15" customHeight="1" x14ac:dyDescent="0.3">
      <c r="A1870" s="73"/>
      <c r="B1870" s="74"/>
      <c r="C1870" s="75"/>
      <c r="D1870" s="76"/>
      <c r="E1870" s="77"/>
      <c r="F1870" s="78"/>
      <c r="G1870" s="78"/>
      <c r="H1870" s="79"/>
      <c r="I1870" s="80"/>
      <c r="J1870" s="77"/>
      <c r="K1870" s="81" t="b">
        <v>0</v>
      </c>
      <c r="L1870" s="78"/>
      <c r="M1870" s="82"/>
      <c r="N1870" s="78"/>
      <c r="O1870" s="78"/>
      <c r="P1870" s="78"/>
      <c r="Q1870" s="78"/>
      <c r="R1870" s="78"/>
      <c r="S1870" s="78"/>
      <c r="T1870" s="83"/>
    </row>
    <row r="1871" spans="1:20" ht="15" customHeight="1" x14ac:dyDescent="0.3">
      <c r="A1871" s="73"/>
      <c r="B1871" s="74"/>
      <c r="C1871" s="75"/>
      <c r="D1871" s="76"/>
      <c r="E1871" s="77"/>
      <c r="F1871" s="78"/>
      <c r="G1871" s="78"/>
      <c r="H1871" s="79"/>
      <c r="I1871" s="80"/>
      <c r="J1871" s="77"/>
      <c r="K1871" s="81" t="b">
        <v>0</v>
      </c>
      <c r="L1871" s="78"/>
      <c r="M1871" s="82"/>
      <c r="N1871" s="78"/>
      <c r="O1871" s="78"/>
      <c r="P1871" s="78"/>
      <c r="Q1871" s="78"/>
      <c r="R1871" s="78"/>
      <c r="S1871" s="78"/>
      <c r="T1871" s="83"/>
    </row>
    <row r="1872" spans="1:20" ht="15" customHeight="1" x14ac:dyDescent="0.3">
      <c r="A1872" s="73"/>
      <c r="B1872" s="74"/>
      <c r="C1872" s="75"/>
      <c r="D1872" s="76"/>
      <c r="E1872" s="77"/>
      <c r="F1872" s="78"/>
      <c r="G1872" s="78"/>
      <c r="H1872" s="79"/>
      <c r="I1872" s="80"/>
      <c r="J1872" s="77"/>
      <c r="K1872" s="81" t="b">
        <v>0</v>
      </c>
      <c r="L1872" s="78"/>
      <c r="M1872" s="82"/>
      <c r="N1872" s="78"/>
      <c r="O1872" s="78"/>
      <c r="P1872" s="78"/>
      <c r="Q1872" s="78"/>
      <c r="R1872" s="78"/>
      <c r="S1872" s="78"/>
      <c r="T1872" s="83"/>
    </row>
    <row r="1873" spans="1:20" ht="15" customHeight="1" x14ac:dyDescent="0.3">
      <c r="A1873" s="73"/>
      <c r="B1873" s="74"/>
      <c r="C1873" s="75"/>
      <c r="D1873" s="76"/>
      <c r="E1873" s="77"/>
      <c r="F1873" s="78"/>
      <c r="G1873" s="78"/>
      <c r="H1873" s="79"/>
      <c r="I1873" s="80"/>
      <c r="J1873" s="77"/>
      <c r="K1873" s="81" t="b">
        <v>0</v>
      </c>
      <c r="L1873" s="78"/>
      <c r="M1873" s="82"/>
      <c r="N1873" s="78"/>
      <c r="O1873" s="78"/>
      <c r="P1873" s="78"/>
      <c r="Q1873" s="78"/>
      <c r="R1873" s="78"/>
      <c r="S1873" s="78"/>
      <c r="T1873" s="83"/>
    </row>
    <row r="1874" spans="1:20" ht="15" customHeight="1" x14ac:dyDescent="0.3">
      <c r="A1874" s="73"/>
      <c r="B1874" s="74"/>
      <c r="C1874" s="75"/>
      <c r="D1874" s="76"/>
      <c r="E1874" s="77"/>
      <c r="F1874" s="78"/>
      <c r="G1874" s="78"/>
      <c r="H1874" s="79"/>
      <c r="I1874" s="80"/>
      <c r="J1874" s="77"/>
      <c r="K1874" s="81" t="b">
        <v>0</v>
      </c>
      <c r="L1874" s="78"/>
      <c r="M1874" s="82"/>
      <c r="N1874" s="78"/>
      <c r="O1874" s="78"/>
      <c r="P1874" s="78"/>
      <c r="Q1874" s="78"/>
      <c r="R1874" s="78"/>
      <c r="S1874" s="78"/>
      <c r="T1874" s="83"/>
    </row>
    <row r="1875" spans="1:20" ht="15" customHeight="1" x14ac:dyDescent="0.3">
      <c r="A1875" s="73"/>
      <c r="B1875" s="74"/>
      <c r="C1875" s="75"/>
      <c r="D1875" s="76"/>
      <c r="E1875" s="77"/>
      <c r="F1875" s="78"/>
      <c r="G1875" s="78"/>
      <c r="H1875" s="79"/>
      <c r="I1875" s="80"/>
      <c r="J1875" s="77"/>
      <c r="K1875" s="81" t="b">
        <v>0</v>
      </c>
      <c r="L1875" s="78"/>
      <c r="M1875" s="82"/>
      <c r="N1875" s="78"/>
      <c r="O1875" s="78"/>
      <c r="P1875" s="78"/>
      <c r="Q1875" s="78"/>
      <c r="R1875" s="78"/>
      <c r="S1875" s="78"/>
      <c r="T1875" s="83"/>
    </row>
    <row r="1876" spans="1:20" ht="15" customHeight="1" x14ac:dyDescent="0.3">
      <c r="A1876" s="73"/>
      <c r="B1876" s="74"/>
      <c r="C1876" s="75"/>
      <c r="D1876" s="76"/>
      <c r="E1876" s="77"/>
      <c r="F1876" s="78"/>
      <c r="G1876" s="78"/>
      <c r="H1876" s="79"/>
      <c r="I1876" s="80"/>
      <c r="J1876" s="77"/>
      <c r="K1876" s="81" t="b">
        <v>0</v>
      </c>
      <c r="L1876" s="78"/>
      <c r="M1876" s="82"/>
      <c r="N1876" s="78"/>
      <c r="O1876" s="78"/>
      <c r="P1876" s="78"/>
      <c r="Q1876" s="78"/>
      <c r="R1876" s="78"/>
      <c r="S1876" s="78"/>
      <c r="T1876" s="83"/>
    </row>
    <row r="1877" spans="1:20" ht="15" customHeight="1" x14ac:dyDescent="0.3">
      <c r="A1877" s="73"/>
      <c r="B1877" s="74"/>
      <c r="C1877" s="75"/>
      <c r="D1877" s="76"/>
      <c r="E1877" s="77"/>
      <c r="F1877" s="78"/>
      <c r="G1877" s="78"/>
      <c r="H1877" s="79"/>
      <c r="I1877" s="80"/>
      <c r="J1877" s="77"/>
      <c r="K1877" s="81" t="b">
        <v>0</v>
      </c>
      <c r="L1877" s="78"/>
      <c r="M1877" s="82"/>
      <c r="N1877" s="78"/>
      <c r="O1877" s="78"/>
      <c r="P1877" s="78"/>
      <c r="Q1877" s="78"/>
      <c r="R1877" s="78"/>
      <c r="S1877" s="78"/>
      <c r="T1877" s="83"/>
    </row>
    <row r="1878" spans="1:20" ht="15" customHeight="1" x14ac:dyDescent="0.3">
      <c r="A1878" s="73"/>
      <c r="B1878" s="74"/>
      <c r="C1878" s="75"/>
      <c r="D1878" s="76"/>
      <c r="E1878" s="77"/>
      <c r="F1878" s="78"/>
      <c r="G1878" s="78"/>
      <c r="H1878" s="79"/>
      <c r="I1878" s="80"/>
      <c r="J1878" s="77"/>
      <c r="K1878" s="81" t="b">
        <v>0</v>
      </c>
      <c r="L1878" s="78"/>
      <c r="M1878" s="82"/>
      <c r="N1878" s="78"/>
      <c r="O1878" s="78"/>
      <c r="P1878" s="78"/>
      <c r="Q1878" s="78"/>
      <c r="R1878" s="78"/>
      <c r="S1878" s="78"/>
      <c r="T1878" s="83"/>
    </row>
    <row r="1879" spans="1:20" ht="15" customHeight="1" x14ac:dyDescent="0.3">
      <c r="A1879" s="73"/>
      <c r="B1879" s="74"/>
      <c r="C1879" s="75"/>
      <c r="D1879" s="76"/>
      <c r="E1879" s="77"/>
      <c r="F1879" s="78"/>
      <c r="G1879" s="78"/>
      <c r="H1879" s="79"/>
      <c r="I1879" s="80"/>
      <c r="J1879" s="77"/>
      <c r="K1879" s="81" t="b">
        <v>0</v>
      </c>
      <c r="L1879" s="78"/>
      <c r="M1879" s="82"/>
      <c r="N1879" s="78"/>
      <c r="O1879" s="78"/>
      <c r="P1879" s="78"/>
      <c r="Q1879" s="78"/>
      <c r="R1879" s="78"/>
      <c r="S1879" s="78"/>
      <c r="T1879" s="83"/>
    </row>
    <row r="1880" spans="1:20" ht="15" customHeight="1" x14ac:dyDescent="0.3">
      <c r="A1880" s="73"/>
      <c r="B1880" s="74"/>
      <c r="C1880" s="75"/>
      <c r="D1880" s="76"/>
      <c r="E1880" s="77"/>
      <c r="F1880" s="78"/>
      <c r="G1880" s="78"/>
      <c r="H1880" s="79"/>
      <c r="I1880" s="80"/>
      <c r="J1880" s="77"/>
      <c r="K1880" s="81" t="b">
        <v>0</v>
      </c>
      <c r="L1880" s="78"/>
      <c r="M1880" s="82"/>
      <c r="N1880" s="78"/>
      <c r="O1880" s="78"/>
      <c r="P1880" s="78"/>
      <c r="Q1880" s="78"/>
      <c r="R1880" s="78"/>
      <c r="S1880" s="78"/>
      <c r="T1880" s="83"/>
    </row>
    <row r="1881" spans="1:20" ht="15" customHeight="1" x14ac:dyDescent="0.3">
      <c r="A1881" s="73"/>
      <c r="B1881" s="74"/>
      <c r="C1881" s="75"/>
      <c r="D1881" s="76"/>
      <c r="E1881" s="77"/>
      <c r="F1881" s="78"/>
      <c r="G1881" s="78"/>
      <c r="H1881" s="79"/>
      <c r="I1881" s="80"/>
      <c r="J1881" s="77"/>
      <c r="K1881" s="81" t="b">
        <v>0</v>
      </c>
      <c r="L1881" s="78"/>
      <c r="M1881" s="82"/>
      <c r="N1881" s="78"/>
      <c r="O1881" s="78"/>
      <c r="P1881" s="78"/>
      <c r="Q1881" s="78"/>
      <c r="R1881" s="78"/>
      <c r="S1881" s="78"/>
      <c r="T1881" s="83"/>
    </row>
    <row r="1882" spans="1:20" ht="15" customHeight="1" x14ac:dyDescent="0.3">
      <c r="A1882" s="73"/>
      <c r="B1882" s="74"/>
      <c r="C1882" s="75"/>
      <c r="D1882" s="76"/>
      <c r="E1882" s="77"/>
      <c r="F1882" s="78"/>
      <c r="G1882" s="78"/>
      <c r="H1882" s="79"/>
      <c r="I1882" s="80"/>
      <c r="J1882" s="77"/>
      <c r="K1882" s="81" t="b">
        <v>0</v>
      </c>
      <c r="L1882" s="78"/>
      <c r="M1882" s="82"/>
      <c r="N1882" s="78"/>
      <c r="O1882" s="78"/>
      <c r="P1882" s="78"/>
      <c r="Q1882" s="78"/>
      <c r="R1882" s="78"/>
      <c r="S1882" s="78"/>
      <c r="T1882" s="83"/>
    </row>
    <row r="1883" spans="1:20" ht="15" customHeight="1" x14ac:dyDescent="0.3">
      <c r="A1883" s="73"/>
      <c r="B1883" s="74"/>
      <c r="C1883" s="75"/>
      <c r="D1883" s="76"/>
      <c r="E1883" s="77"/>
      <c r="F1883" s="78"/>
      <c r="G1883" s="78"/>
      <c r="H1883" s="79"/>
      <c r="I1883" s="80"/>
      <c r="J1883" s="77"/>
      <c r="K1883" s="81" t="b">
        <v>0</v>
      </c>
      <c r="L1883" s="78"/>
      <c r="M1883" s="82"/>
      <c r="N1883" s="78"/>
      <c r="O1883" s="78"/>
      <c r="P1883" s="78"/>
      <c r="Q1883" s="78"/>
      <c r="R1883" s="78"/>
      <c r="S1883" s="78"/>
      <c r="T1883" s="83"/>
    </row>
    <row r="1884" spans="1:20" ht="15" customHeight="1" x14ac:dyDescent="0.3">
      <c r="A1884" s="73"/>
      <c r="B1884" s="74"/>
      <c r="C1884" s="75"/>
      <c r="D1884" s="76"/>
      <c r="E1884" s="77"/>
      <c r="F1884" s="78"/>
      <c r="G1884" s="78"/>
      <c r="H1884" s="79"/>
      <c r="I1884" s="80"/>
      <c r="J1884" s="77"/>
      <c r="K1884" s="81" t="b">
        <v>0</v>
      </c>
      <c r="L1884" s="78"/>
      <c r="M1884" s="82"/>
      <c r="N1884" s="78"/>
      <c r="O1884" s="78"/>
      <c r="P1884" s="78"/>
      <c r="Q1884" s="78"/>
      <c r="R1884" s="78"/>
      <c r="S1884" s="78"/>
      <c r="T1884" s="83"/>
    </row>
    <row r="1885" spans="1:20" ht="15" customHeight="1" x14ac:dyDescent="0.3">
      <c r="A1885" s="73"/>
      <c r="B1885" s="74"/>
      <c r="C1885" s="75"/>
      <c r="D1885" s="76"/>
      <c r="E1885" s="77"/>
      <c r="F1885" s="78"/>
      <c r="G1885" s="78"/>
      <c r="H1885" s="79"/>
      <c r="I1885" s="80"/>
      <c r="J1885" s="77"/>
      <c r="K1885" s="81" t="b">
        <v>0</v>
      </c>
      <c r="L1885" s="78"/>
      <c r="M1885" s="82"/>
      <c r="N1885" s="78"/>
      <c r="O1885" s="78"/>
      <c r="P1885" s="78"/>
      <c r="Q1885" s="78"/>
      <c r="R1885" s="78"/>
      <c r="S1885" s="78"/>
      <c r="T1885" s="83"/>
    </row>
    <row r="1886" spans="1:20" ht="15" customHeight="1" x14ac:dyDescent="0.3">
      <c r="A1886" s="73"/>
      <c r="B1886" s="74"/>
      <c r="C1886" s="75"/>
      <c r="D1886" s="76"/>
      <c r="E1886" s="77"/>
      <c r="F1886" s="78"/>
      <c r="G1886" s="78"/>
      <c r="H1886" s="79"/>
      <c r="I1886" s="80"/>
      <c r="J1886" s="77"/>
      <c r="K1886" s="81" t="b">
        <v>0</v>
      </c>
      <c r="L1886" s="78"/>
      <c r="M1886" s="82"/>
      <c r="N1886" s="78"/>
      <c r="O1886" s="78"/>
      <c r="P1886" s="78"/>
      <c r="Q1886" s="78"/>
      <c r="R1886" s="78"/>
      <c r="S1886" s="78"/>
      <c r="T1886" s="83"/>
    </row>
    <row r="1887" spans="1:20" ht="15" customHeight="1" x14ac:dyDescent="0.3">
      <c r="A1887" s="73"/>
      <c r="B1887" s="74"/>
      <c r="C1887" s="75"/>
      <c r="D1887" s="76"/>
      <c r="E1887" s="77"/>
      <c r="F1887" s="78"/>
      <c r="G1887" s="78"/>
      <c r="H1887" s="79"/>
      <c r="I1887" s="80"/>
      <c r="J1887" s="77"/>
      <c r="K1887" s="81" t="b">
        <v>0</v>
      </c>
      <c r="L1887" s="78"/>
      <c r="M1887" s="82"/>
      <c r="N1887" s="78"/>
      <c r="O1887" s="78"/>
      <c r="P1887" s="78"/>
      <c r="Q1887" s="78"/>
      <c r="R1887" s="78"/>
      <c r="S1887" s="78"/>
      <c r="T1887" s="83"/>
    </row>
    <row r="1888" spans="1:20" ht="15" customHeight="1" x14ac:dyDescent="0.3">
      <c r="A1888" s="73"/>
      <c r="B1888" s="74"/>
      <c r="C1888" s="75"/>
      <c r="D1888" s="76"/>
      <c r="E1888" s="77"/>
      <c r="F1888" s="78"/>
      <c r="G1888" s="78"/>
      <c r="H1888" s="79"/>
      <c r="I1888" s="80"/>
      <c r="J1888" s="77"/>
      <c r="K1888" s="81" t="b">
        <v>0</v>
      </c>
      <c r="L1888" s="78"/>
      <c r="M1888" s="82"/>
      <c r="N1888" s="78"/>
      <c r="O1888" s="78"/>
      <c r="P1888" s="78"/>
      <c r="Q1888" s="78"/>
      <c r="R1888" s="78"/>
      <c r="S1888" s="78"/>
      <c r="T1888" s="83"/>
    </row>
    <row r="1889" spans="1:20" ht="15" customHeight="1" x14ac:dyDescent="0.3">
      <c r="A1889" s="73"/>
      <c r="B1889" s="74"/>
      <c r="C1889" s="75"/>
      <c r="D1889" s="76"/>
      <c r="E1889" s="77"/>
      <c r="F1889" s="78"/>
      <c r="G1889" s="78"/>
      <c r="H1889" s="79"/>
      <c r="I1889" s="80"/>
      <c r="J1889" s="77"/>
      <c r="K1889" s="81" t="b">
        <v>0</v>
      </c>
      <c r="L1889" s="78"/>
      <c r="M1889" s="82"/>
      <c r="N1889" s="78"/>
      <c r="O1889" s="78"/>
      <c r="P1889" s="78"/>
      <c r="Q1889" s="78"/>
      <c r="R1889" s="78"/>
      <c r="S1889" s="78"/>
      <c r="T1889" s="83"/>
    </row>
    <row r="1890" spans="1:20" ht="15" customHeight="1" x14ac:dyDescent="0.3">
      <c r="A1890" s="73"/>
      <c r="B1890" s="74"/>
      <c r="C1890" s="75"/>
      <c r="D1890" s="76"/>
      <c r="E1890" s="77"/>
      <c r="F1890" s="78"/>
      <c r="G1890" s="78"/>
      <c r="H1890" s="79"/>
      <c r="I1890" s="80"/>
      <c r="J1890" s="77"/>
      <c r="K1890" s="81" t="b">
        <v>0</v>
      </c>
      <c r="L1890" s="78"/>
      <c r="M1890" s="82"/>
      <c r="N1890" s="78"/>
      <c r="O1890" s="78"/>
      <c r="P1890" s="78"/>
      <c r="Q1890" s="78"/>
      <c r="R1890" s="78"/>
      <c r="S1890" s="78"/>
      <c r="T1890" s="83"/>
    </row>
    <row r="1891" spans="1:20" ht="15" customHeight="1" x14ac:dyDescent="0.3">
      <c r="A1891" s="73"/>
      <c r="B1891" s="74"/>
      <c r="C1891" s="75"/>
      <c r="D1891" s="76"/>
      <c r="E1891" s="77"/>
      <c r="F1891" s="78"/>
      <c r="G1891" s="78"/>
      <c r="H1891" s="79"/>
      <c r="I1891" s="80"/>
      <c r="J1891" s="77"/>
      <c r="K1891" s="81" t="b">
        <v>0</v>
      </c>
      <c r="L1891" s="78"/>
      <c r="M1891" s="82"/>
      <c r="N1891" s="78"/>
      <c r="O1891" s="78"/>
      <c r="P1891" s="78"/>
      <c r="Q1891" s="78"/>
      <c r="R1891" s="78"/>
      <c r="S1891" s="78"/>
      <c r="T1891" s="83"/>
    </row>
    <row r="1892" spans="1:20" ht="15" customHeight="1" x14ac:dyDescent="0.3">
      <c r="A1892" s="73"/>
      <c r="B1892" s="74"/>
      <c r="C1892" s="75"/>
      <c r="D1892" s="76"/>
      <c r="E1892" s="77"/>
      <c r="F1892" s="78"/>
      <c r="G1892" s="78"/>
      <c r="H1892" s="79"/>
      <c r="I1892" s="80"/>
      <c r="J1892" s="77"/>
      <c r="K1892" s="81" t="b">
        <v>0</v>
      </c>
      <c r="L1892" s="78"/>
      <c r="M1892" s="82"/>
      <c r="N1892" s="78"/>
      <c r="O1892" s="78"/>
      <c r="P1892" s="78"/>
      <c r="Q1892" s="78"/>
      <c r="R1892" s="78"/>
      <c r="S1892" s="78"/>
      <c r="T1892" s="83"/>
    </row>
    <row r="1893" spans="1:20" ht="15" customHeight="1" x14ac:dyDescent="0.3">
      <c r="A1893" s="73"/>
      <c r="B1893" s="74"/>
      <c r="C1893" s="75"/>
      <c r="D1893" s="76"/>
      <c r="E1893" s="77"/>
      <c r="F1893" s="78"/>
      <c r="G1893" s="78"/>
      <c r="H1893" s="79"/>
      <c r="I1893" s="80"/>
      <c r="J1893" s="77"/>
      <c r="K1893" s="81" t="b">
        <v>0</v>
      </c>
      <c r="L1893" s="78"/>
      <c r="M1893" s="82"/>
      <c r="N1893" s="78"/>
      <c r="O1893" s="78"/>
      <c r="P1893" s="78"/>
      <c r="Q1893" s="78"/>
      <c r="R1893" s="78"/>
      <c r="S1893" s="78"/>
      <c r="T1893" s="83"/>
    </row>
    <row r="1894" spans="1:20" ht="15" customHeight="1" x14ac:dyDescent="0.3">
      <c r="A1894" s="73"/>
      <c r="B1894" s="74"/>
      <c r="C1894" s="75"/>
      <c r="D1894" s="76"/>
      <c r="E1894" s="77"/>
      <c r="F1894" s="78"/>
      <c r="G1894" s="78"/>
      <c r="H1894" s="79"/>
      <c r="I1894" s="80"/>
      <c r="J1894" s="77"/>
      <c r="K1894" s="81" t="b">
        <v>0</v>
      </c>
      <c r="L1894" s="78"/>
      <c r="M1894" s="82"/>
      <c r="N1894" s="78"/>
      <c r="O1894" s="78"/>
      <c r="P1894" s="78"/>
      <c r="Q1894" s="78"/>
      <c r="R1894" s="78"/>
      <c r="S1894" s="78"/>
      <c r="T1894" s="83"/>
    </row>
    <row r="1895" spans="1:20" ht="15" customHeight="1" x14ac:dyDescent="0.3">
      <c r="A1895" s="73"/>
      <c r="B1895" s="74"/>
      <c r="C1895" s="75"/>
      <c r="D1895" s="76"/>
      <c r="E1895" s="77"/>
      <c r="F1895" s="78"/>
      <c r="G1895" s="78"/>
      <c r="H1895" s="79"/>
      <c r="I1895" s="80"/>
      <c r="J1895" s="77"/>
      <c r="K1895" s="81" t="b">
        <v>0</v>
      </c>
      <c r="L1895" s="78"/>
      <c r="M1895" s="82"/>
      <c r="N1895" s="78"/>
      <c r="O1895" s="78"/>
      <c r="P1895" s="78"/>
      <c r="Q1895" s="78"/>
      <c r="R1895" s="78"/>
      <c r="S1895" s="78"/>
      <c r="T1895" s="83"/>
    </row>
    <row r="1896" spans="1:20" ht="15" customHeight="1" x14ac:dyDescent="0.3">
      <c r="A1896" s="73"/>
      <c r="B1896" s="74"/>
      <c r="C1896" s="75"/>
      <c r="D1896" s="76"/>
      <c r="E1896" s="77"/>
      <c r="F1896" s="78"/>
      <c r="G1896" s="78"/>
      <c r="H1896" s="79"/>
      <c r="I1896" s="80"/>
      <c r="J1896" s="77"/>
      <c r="K1896" s="81" t="b">
        <v>0</v>
      </c>
      <c r="L1896" s="78"/>
      <c r="M1896" s="82"/>
      <c r="N1896" s="78"/>
      <c r="O1896" s="78"/>
      <c r="P1896" s="78"/>
      <c r="Q1896" s="78"/>
      <c r="R1896" s="78"/>
      <c r="S1896" s="78"/>
      <c r="T1896" s="83"/>
    </row>
    <row r="1897" spans="1:20" ht="15" customHeight="1" x14ac:dyDescent="0.3">
      <c r="A1897" s="73"/>
      <c r="B1897" s="74"/>
      <c r="C1897" s="75"/>
      <c r="D1897" s="76"/>
      <c r="E1897" s="77"/>
      <c r="F1897" s="78"/>
      <c r="G1897" s="78"/>
      <c r="H1897" s="79"/>
      <c r="I1897" s="80"/>
      <c r="J1897" s="77"/>
      <c r="K1897" s="81" t="b">
        <v>0</v>
      </c>
      <c r="L1897" s="78"/>
      <c r="M1897" s="82"/>
      <c r="N1897" s="78"/>
      <c r="O1897" s="78"/>
      <c r="P1897" s="78"/>
      <c r="Q1897" s="78"/>
      <c r="R1897" s="78"/>
      <c r="S1897" s="78"/>
      <c r="T1897" s="83"/>
    </row>
    <row r="1898" spans="1:20" ht="15" customHeight="1" x14ac:dyDescent="0.3">
      <c r="A1898" s="73"/>
      <c r="B1898" s="74"/>
      <c r="C1898" s="75"/>
      <c r="D1898" s="76"/>
      <c r="E1898" s="77"/>
      <c r="F1898" s="78"/>
      <c r="G1898" s="78"/>
      <c r="H1898" s="79"/>
      <c r="I1898" s="80"/>
      <c r="J1898" s="77"/>
      <c r="K1898" s="81" t="b">
        <v>0</v>
      </c>
      <c r="L1898" s="78"/>
      <c r="M1898" s="82"/>
      <c r="N1898" s="78"/>
      <c r="O1898" s="78"/>
      <c r="P1898" s="78"/>
      <c r="Q1898" s="78"/>
      <c r="R1898" s="78"/>
      <c r="S1898" s="78"/>
      <c r="T1898" s="83"/>
    </row>
    <row r="1899" spans="1:20" ht="15" customHeight="1" x14ac:dyDescent="0.3">
      <c r="A1899" s="73"/>
      <c r="B1899" s="74"/>
      <c r="C1899" s="75"/>
      <c r="D1899" s="76"/>
      <c r="E1899" s="77"/>
      <c r="F1899" s="78"/>
      <c r="G1899" s="78"/>
      <c r="H1899" s="79"/>
      <c r="I1899" s="80"/>
      <c r="J1899" s="77"/>
      <c r="K1899" s="81" t="b">
        <v>0</v>
      </c>
      <c r="L1899" s="78"/>
      <c r="M1899" s="82"/>
      <c r="N1899" s="78"/>
      <c r="O1899" s="78"/>
      <c r="P1899" s="78"/>
      <c r="Q1899" s="78"/>
      <c r="R1899" s="78"/>
      <c r="S1899" s="78"/>
      <c r="T1899" s="83"/>
    </row>
    <row r="1900" spans="1:20" ht="15" customHeight="1" x14ac:dyDescent="0.3">
      <c r="A1900" s="73"/>
      <c r="B1900" s="74"/>
      <c r="C1900" s="75"/>
      <c r="D1900" s="76"/>
      <c r="E1900" s="77"/>
      <c r="F1900" s="78"/>
      <c r="G1900" s="78"/>
      <c r="H1900" s="79"/>
      <c r="I1900" s="80"/>
      <c r="J1900" s="77"/>
      <c r="K1900" s="81" t="b">
        <v>0</v>
      </c>
      <c r="L1900" s="78"/>
      <c r="M1900" s="82"/>
      <c r="N1900" s="78"/>
      <c r="O1900" s="78"/>
      <c r="P1900" s="78"/>
      <c r="Q1900" s="78"/>
      <c r="R1900" s="78"/>
      <c r="S1900" s="78"/>
      <c r="T1900" s="83"/>
    </row>
    <row r="1901" spans="1:20" ht="15" customHeight="1" x14ac:dyDescent="0.3">
      <c r="A1901" s="73"/>
      <c r="B1901" s="74"/>
      <c r="C1901" s="75"/>
      <c r="D1901" s="76"/>
      <c r="E1901" s="77"/>
      <c r="F1901" s="78"/>
      <c r="G1901" s="78"/>
      <c r="H1901" s="79"/>
      <c r="I1901" s="80"/>
      <c r="J1901" s="77"/>
      <c r="K1901" s="81" t="b">
        <v>0</v>
      </c>
      <c r="L1901" s="78"/>
      <c r="M1901" s="82"/>
      <c r="N1901" s="78"/>
      <c r="O1901" s="78"/>
      <c r="P1901" s="78"/>
      <c r="Q1901" s="78"/>
      <c r="R1901" s="78"/>
      <c r="S1901" s="78"/>
      <c r="T1901" s="83"/>
    </row>
    <row r="1902" spans="1:20" ht="15" customHeight="1" x14ac:dyDescent="0.3">
      <c r="A1902" s="73"/>
      <c r="B1902" s="74"/>
      <c r="C1902" s="75"/>
      <c r="D1902" s="76"/>
      <c r="E1902" s="77"/>
      <c r="F1902" s="78"/>
      <c r="G1902" s="78"/>
      <c r="H1902" s="79"/>
      <c r="I1902" s="80"/>
      <c r="J1902" s="77"/>
      <c r="K1902" s="81" t="b">
        <v>0</v>
      </c>
      <c r="L1902" s="78"/>
      <c r="M1902" s="82"/>
      <c r="N1902" s="78"/>
      <c r="O1902" s="78"/>
      <c r="P1902" s="78"/>
      <c r="Q1902" s="78"/>
      <c r="R1902" s="78"/>
      <c r="S1902" s="78"/>
      <c r="T1902" s="83"/>
    </row>
    <row r="1903" spans="1:20" ht="15" customHeight="1" x14ac:dyDescent="0.3">
      <c r="A1903" s="73"/>
      <c r="B1903" s="74"/>
      <c r="C1903" s="75"/>
      <c r="D1903" s="76"/>
      <c r="E1903" s="77"/>
      <c r="F1903" s="78"/>
      <c r="G1903" s="78"/>
      <c r="H1903" s="79"/>
      <c r="I1903" s="80"/>
      <c r="J1903" s="77"/>
      <c r="K1903" s="81" t="b">
        <v>0</v>
      </c>
      <c r="L1903" s="78"/>
      <c r="M1903" s="82"/>
      <c r="N1903" s="78"/>
      <c r="O1903" s="78"/>
      <c r="P1903" s="78"/>
      <c r="Q1903" s="78"/>
      <c r="R1903" s="78"/>
      <c r="S1903" s="78"/>
      <c r="T1903" s="83"/>
    </row>
    <row r="1904" spans="1:20" ht="15" customHeight="1" x14ac:dyDescent="0.3">
      <c r="A1904" s="73"/>
      <c r="B1904" s="74"/>
      <c r="C1904" s="75"/>
      <c r="D1904" s="76"/>
      <c r="E1904" s="77"/>
      <c r="F1904" s="78"/>
      <c r="G1904" s="78"/>
      <c r="H1904" s="79"/>
      <c r="I1904" s="80"/>
      <c r="J1904" s="77"/>
      <c r="K1904" s="81" t="b">
        <v>0</v>
      </c>
      <c r="L1904" s="78"/>
      <c r="M1904" s="82"/>
      <c r="N1904" s="78"/>
      <c r="O1904" s="78"/>
      <c r="P1904" s="78"/>
      <c r="Q1904" s="78"/>
      <c r="R1904" s="78"/>
      <c r="S1904" s="78"/>
      <c r="T1904" s="83"/>
    </row>
    <row r="1905" spans="1:20" ht="15" customHeight="1" x14ac:dyDescent="0.3">
      <c r="A1905" s="73"/>
      <c r="B1905" s="74"/>
      <c r="C1905" s="75"/>
      <c r="D1905" s="76"/>
      <c r="E1905" s="77"/>
      <c r="F1905" s="78"/>
      <c r="G1905" s="78"/>
      <c r="H1905" s="79"/>
      <c r="I1905" s="80"/>
      <c r="J1905" s="77"/>
      <c r="K1905" s="81" t="b">
        <v>0</v>
      </c>
      <c r="L1905" s="78"/>
      <c r="M1905" s="82"/>
      <c r="N1905" s="78"/>
      <c r="O1905" s="78"/>
      <c r="P1905" s="78"/>
      <c r="Q1905" s="78"/>
      <c r="R1905" s="78"/>
      <c r="S1905" s="78"/>
      <c r="T1905" s="83"/>
    </row>
    <row r="1906" spans="1:20" ht="15" customHeight="1" x14ac:dyDescent="0.3">
      <c r="A1906" s="73"/>
      <c r="B1906" s="74"/>
      <c r="C1906" s="75"/>
      <c r="D1906" s="76"/>
      <c r="E1906" s="77"/>
      <c r="F1906" s="78"/>
      <c r="G1906" s="78"/>
      <c r="H1906" s="79"/>
      <c r="I1906" s="80"/>
      <c r="J1906" s="77"/>
      <c r="K1906" s="81" t="b">
        <v>0</v>
      </c>
      <c r="L1906" s="78"/>
      <c r="M1906" s="82"/>
      <c r="N1906" s="78"/>
      <c r="O1906" s="78"/>
      <c r="P1906" s="78"/>
      <c r="Q1906" s="78"/>
      <c r="R1906" s="78"/>
      <c r="S1906" s="78"/>
      <c r="T1906" s="83"/>
    </row>
    <row r="1907" spans="1:20" ht="15" customHeight="1" x14ac:dyDescent="0.3">
      <c r="A1907" s="73"/>
      <c r="B1907" s="74"/>
      <c r="C1907" s="75"/>
      <c r="D1907" s="76"/>
      <c r="E1907" s="77"/>
      <c r="F1907" s="78"/>
      <c r="G1907" s="78"/>
      <c r="H1907" s="79"/>
      <c r="I1907" s="80"/>
      <c r="J1907" s="77"/>
      <c r="K1907" s="81" t="b">
        <v>0</v>
      </c>
      <c r="L1907" s="78"/>
      <c r="M1907" s="82"/>
      <c r="N1907" s="78"/>
      <c r="O1907" s="78"/>
      <c r="P1907" s="78"/>
      <c r="Q1907" s="78"/>
      <c r="R1907" s="78"/>
      <c r="S1907" s="78"/>
      <c r="T1907" s="83"/>
    </row>
    <row r="1908" spans="1:20" ht="15" customHeight="1" x14ac:dyDescent="0.3">
      <c r="A1908" s="73"/>
      <c r="B1908" s="74"/>
      <c r="C1908" s="75"/>
      <c r="D1908" s="76"/>
      <c r="E1908" s="77"/>
      <c r="F1908" s="78"/>
      <c r="G1908" s="78"/>
      <c r="H1908" s="79"/>
      <c r="I1908" s="80"/>
      <c r="J1908" s="77"/>
      <c r="K1908" s="81" t="b">
        <v>0</v>
      </c>
      <c r="L1908" s="78"/>
      <c r="M1908" s="82"/>
      <c r="N1908" s="78"/>
      <c r="O1908" s="78"/>
      <c r="P1908" s="78"/>
      <c r="Q1908" s="78"/>
      <c r="R1908" s="78"/>
      <c r="S1908" s="78"/>
      <c r="T1908" s="83"/>
    </row>
    <row r="1909" spans="1:20" ht="15" customHeight="1" x14ac:dyDescent="0.3">
      <c r="A1909" s="73"/>
      <c r="B1909" s="74"/>
      <c r="C1909" s="75"/>
      <c r="D1909" s="76"/>
      <c r="E1909" s="77"/>
      <c r="F1909" s="78"/>
      <c r="G1909" s="78"/>
      <c r="H1909" s="79"/>
      <c r="I1909" s="80"/>
      <c r="J1909" s="77"/>
      <c r="K1909" s="81" t="b">
        <v>0</v>
      </c>
      <c r="L1909" s="78"/>
      <c r="M1909" s="82"/>
      <c r="N1909" s="78"/>
      <c r="O1909" s="78"/>
      <c r="P1909" s="78"/>
      <c r="Q1909" s="78"/>
      <c r="R1909" s="78"/>
      <c r="S1909" s="78"/>
      <c r="T1909" s="83"/>
    </row>
    <row r="1910" spans="1:20" ht="15" customHeight="1" x14ac:dyDescent="0.3">
      <c r="A1910" s="73"/>
      <c r="B1910" s="74"/>
      <c r="C1910" s="75"/>
      <c r="D1910" s="76"/>
      <c r="E1910" s="77"/>
      <c r="F1910" s="78"/>
      <c r="G1910" s="78"/>
      <c r="H1910" s="79"/>
      <c r="I1910" s="80"/>
      <c r="J1910" s="77"/>
      <c r="K1910" s="81" t="b">
        <v>0</v>
      </c>
      <c r="L1910" s="78"/>
      <c r="M1910" s="82"/>
      <c r="N1910" s="78"/>
      <c r="O1910" s="78"/>
      <c r="P1910" s="78"/>
      <c r="Q1910" s="78"/>
      <c r="R1910" s="78"/>
      <c r="S1910" s="78"/>
      <c r="T1910" s="83"/>
    </row>
    <row r="1911" spans="1:20" ht="15" customHeight="1" x14ac:dyDescent="0.3">
      <c r="A1911" s="73"/>
      <c r="B1911" s="74"/>
      <c r="C1911" s="75"/>
      <c r="D1911" s="76"/>
      <c r="E1911" s="77"/>
      <c r="F1911" s="78"/>
      <c r="G1911" s="78"/>
      <c r="H1911" s="79"/>
      <c r="I1911" s="80"/>
      <c r="J1911" s="77"/>
      <c r="K1911" s="81" t="b">
        <v>0</v>
      </c>
      <c r="L1911" s="78"/>
      <c r="M1911" s="82"/>
      <c r="N1911" s="78"/>
      <c r="O1911" s="78"/>
      <c r="P1911" s="78"/>
      <c r="Q1911" s="78"/>
      <c r="R1911" s="78"/>
      <c r="S1911" s="78"/>
      <c r="T1911" s="83"/>
    </row>
    <row r="1912" spans="1:20" ht="15" customHeight="1" x14ac:dyDescent="0.3">
      <c r="A1912" s="73"/>
      <c r="B1912" s="74"/>
      <c r="C1912" s="75"/>
      <c r="D1912" s="76"/>
      <c r="E1912" s="77"/>
      <c r="F1912" s="78"/>
      <c r="G1912" s="78"/>
      <c r="H1912" s="79"/>
      <c r="I1912" s="80"/>
      <c r="J1912" s="77"/>
      <c r="K1912" s="81" t="b">
        <v>0</v>
      </c>
      <c r="L1912" s="78"/>
      <c r="M1912" s="82"/>
      <c r="N1912" s="78"/>
      <c r="O1912" s="78"/>
      <c r="P1912" s="78"/>
      <c r="Q1912" s="78"/>
      <c r="R1912" s="78"/>
      <c r="S1912" s="78"/>
      <c r="T1912" s="83"/>
    </row>
    <row r="1913" spans="1:20" ht="15" customHeight="1" x14ac:dyDescent="0.3">
      <c r="A1913" s="73"/>
      <c r="B1913" s="74"/>
      <c r="C1913" s="75"/>
      <c r="D1913" s="76"/>
      <c r="E1913" s="77"/>
      <c r="F1913" s="78"/>
      <c r="G1913" s="78"/>
      <c r="H1913" s="79"/>
      <c r="I1913" s="80"/>
      <c r="J1913" s="77"/>
      <c r="K1913" s="81" t="b">
        <v>0</v>
      </c>
      <c r="L1913" s="78"/>
      <c r="M1913" s="82"/>
      <c r="N1913" s="78"/>
      <c r="O1913" s="78"/>
      <c r="P1913" s="78"/>
      <c r="Q1913" s="78"/>
      <c r="R1913" s="78"/>
      <c r="S1913" s="78"/>
      <c r="T1913" s="83"/>
    </row>
    <row r="1914" spans="1:20" ht="15" customHeight="1" x14ac:dyDescent="0.3">
      <c r="A1914" s="73"/>
      <c r="B1914" s="74"/>
      <c r="C1914" s="75"/>
      <c r="D1914" s="76"/>
      <c r="E1914" s="77"/>
      <c r="F1914" s="78"/>
      <c r="G1914" s="78"/>
      <c r="H1914" s="79"/>
      <c r="I1914" s="80"/>
      <c r="J1914" s="77"/>
      <c r="K1914" s="81" t="b">
        <v>0</v>
      </c>
      <c r="L1914" s="78"/>
      <c r="M1914" s="82"/>
      <c r="N1914" s="78"/>
      <c r="O1914" s="78"/>
      <c r="P1914" s="78"/>
      <c r="Q1914" s="78"/>
      <c r="R1914" s="78"/>
      <c r="S1914" s="78"/>
      <c r="T1914" s="83"/>
    </row>
    <row r="1915" spans="1:20" ht="15" customHeight="1" x14ac:dyDescent="0.3">
      <c r="A1915" s="73"/>
      <c r="B1915" s="74"/>
      <c r="C1915" s="75"/>
      <c r="D1915" s="76"/>
      <c r="E1915" s="77"/>
      <c r="F1915" s="78"/>
      <c r="G1915" s="78"/>
      <c r="H1915" s="79"/>
      <c r="I1915" s="80"/>
      <c r="J1915" s="77"/>
      <c r="K1915" s="81" t="b">
        <v>0</v>
      </c>
      <c r="L1915" s="78"/>
      <c r="M1915" s="82"/>
      <c r="N1915" s="78"/>
      <c r="O1915" s="78"/>
      <c r="P1915" s="78"/>
      <c r="Q1915" s="78"/>
      <c r="R1915" s="78"/>
      <c r="S1915" s="78"/>
      <c r="T1915" s="83"/>
    </row>
    <row r="1916" spans="1:20" ht="15" customHeight="1" x14ac:dyDescent="0.3">
      <c r="A1916" s="73"/>
      <c r="B1916" s="74"/>
      <c r="C1916" s="75"/>
      <c r="D1916" s="76"/>
      <c r="E1916" s="77"/>
      <c r="F1916" s="78"/>
      <c r="G1916" s="78"/>
      <c r="H1916" s="79"/>
      <c r="I1916" s="80"/>
      <c r="J1916" s="77"/>
      <c r="K1916" s="81" t="b">
        <v>0</v>
      </c>
      <c r="L1916" s="78"/>
      <c r="M1916" s="82"/>
      <c r="N1916" s="78"/>
      <c r="O1916" s="78"/>
      <c r="P1916" s="78"/>
      <c r="Q1916" s="78"/>
      <c r="R1916" s="78"/>
      <c r="S1916" s="78"/>
      <c r="T1916" s="83"/>
    </row>
    <row r="1917" spans="1:20" ht="15" customHeight="1" x14ac:dyDescent="0.3">
      <c r="A1917" s="73"/>
      <c r="B1917" s="74"/>
      <c r="C1917" s="75"/>
      <c r="D1917" s="76"/>
      <c r="E1917" s="77"/>
      <c r="F1917" s="78"/>
      <c r="G1917" s="78"/>
      <c r="H1917" s="79"/>
      <c r="I1917" s="80"/>
      <c r="J1917" s="77"/>
      <c r="K1917" s="81" t="b">
        <v>0</v>
      </c>
      <c r="L1917" s="78"/>
      <c r="M1917" s="82"/>
      <c r="N1917" s="78"/>
      <c r="O1917" s="78"/>
      <c r="P1917" s="78"/>
      <c r="Q1917" s="78"/>
      <c r="R1917" s="78"/>
      <c r="S1917" s="78"/>
      <c r="T1917" s="83"/>
    </row>
    <row r="1918" spans="1:20" ht="15" customHeight="1" x14ac:dyDescent="0.3">
      <c r="A1918" s="73"/>
      <c r="B1918" s="74"/>
      <c r="C1918" s="75"/>
      <c r="D1918" s="76"/>
      <c r="E1918" s="77"/>
      <c r="F1918" s="78"/>
      <c r="G1918" s="78"/>
      <c r="H1918" s="79"/>
      <c r="I1918" s="80"/>
      <c r="J1918" s="77"/>
      <c r="K1918" s="81" t="b">
        <v>0</v>
      </c>
      <c r="L1918" s="78"/>
      <c r="M1918" s="82"/>
      <c r="N1918" s="78"/>
      <c r="O1918" s="78"/>
      <c r="P1918" s="78"/>
      <c r="Q1918" s="78"/>
      <c r="R1918" s="78"/>
      <c r="S1918" s="78"/>
      <c r="T1918" s="83"/>
    </row>
    <row r="1919" spans="1:20" ht="15" customHeight="1" x14ac:dyDescent="0.3">
      <c r="A1919" s="73"/>
      <c r="B1919" s="74"/>
      <c r="C1919" s="75"/>
      <c r="D1919" s="76"/>
      <c r="E1919" s="77"/>
      <c r="F1919" s="78"/>
      <c r="G1919" s="78"/>
      <c r="H1919" s="79"/>
      <c r="I1919" s="80"/>
      <c r="J1919" s="77"/>
      <c r="K1919" s="81" t="b">
        <v>0</v>
      </c>
      <c r="L1919" s="78"/>
      <c r="M1919" s="82"/>
      <c r="N1919" s="78"/>
      <c r="O1919" s="78"/>
      <c r="P1919" s="78"/>
      <c r="Q1919" s="78"/>
      <c r="R1919" s="78"/>
      <c r="S1919" s="78"/>
      <c r="T1919" s="83"/>
    </row>
    <row r="1920" spans="1:20" ht="15" customHeight="1" x14ac:dyDescent="0.3">
      <c r="A1920" s="73"/>
      <c r="B1920" s="74"/>
      <c r="C1920" s="75"/>
      <c r="D1920" s="76"/>
      <c r="E1920" s="77"/>
      <c r="F1920" s="78"/>
      <c r="G1920" s="78"/>
      <c r="H1920" s="79"/>
      <c r="I1920" s="80"/>
      <c r="J1920" s="77"/>
      <c r="K1920" s="81" t="b">
        <v>0</v>
      </c>
      <c r="L1920" s="78"/>
      <c r="M1920" s="82"/>
      <c r="N1920" s="78"/>
      <c r="O1920" s="78"/>
      <c r="P1920" s="78"/>
      <c r="Q1920" s="78"/>
      <c r="R1920" s="78"/>
      <c r="S1920" s="78"/>
      <c r="T1920" s="83"/>
    </row>
    <row r="1921" spans="1:20" ht="15" customHeight="1" x14ac:dyDescent="0.3">
      <c r="A1921" s="73"/>
      <c r="B1921" s="74"/>
      <c r="C1921" s="75"/>
      <c r="D1921" s="76"/>
      <c r="E1921" s="77"/>
      <c r="F1921" s="78"/>
      <c r="G1921" s="78"/>
      <c r="H1921" s="79"/>
      <c r="I1921" s="80"/>
      <c r="J1921" s="77"/>
      <c r="K1921" s="81" t="b">
        <v>0</v>
      </c>
      <c r="L1921" s="78"/>
      <c r="M1921" s="82"/>
      <c r="N1921" s="78"/>
      <c r="O1921" s="78"/>
      <c r="P1921" s="78"/>
      <c r="Q1921" s="78"/>
      <c r="R1921" s="78"/>
      <c r="S1921" s="78"/>
      <c r="T1921" s="83"/>
    </row>
    <row r="1922" spans="1:20" ht="15" customHeight="1" x14ac:dyDescent="0.3">
      <c r="A1922" s="73"/>
      <c r="B1922" s="74"/>
      <c r="C1922" s="75"/>
      <c r="D1922" s="76"/>
      <c r="E1922" s="77"/>
      <c r="F1922" s="78"/>
      <c r="G1922" s="78"/>
      <c r="H1922" s="79"/>
      <c r="I1922" s="80"/>
      <c r="J1922" s="77"/>
      <c r="K1922" s="81" t="b">
        <v>0</v>
      </c>
      <c r="L1922" s="78"/>
      <c r="M1922" s="82"/>
      <c r="N1922" s="78"/>
      <c r="O1922" s="78"/>
      <c r="P1922" s="78"/>
      <c r="Q1922" s="78"/>
      <c r="R1922" s="78"/>
      <c r="S1922" s="78"/>
      <c r="T1922" s="83"/>
    </row>
    <row r="1923" spans="1:20" ht="15" customHeight="1" x14ac:dyDescent="0.3">
      <c r="A1923" s="73"/>
      <c r="B1923" s="74"/>
      <c r="C1923" s="75"/>
      <c r="D1923" s="76"/>
      <c r="E1923" s="77"/>
      <c r="F1923" s="78"/>
      <c r="G1923" s="78"/>
      <c r="H1923" s="79"/>
      <c r="I1923" s="80"/>
      <c r="J1923" s="77"/>
      <c r="K1923" s="81" t="b">
        <v>0</v>
      </c>
      <c r="L1923" s="78"/>
      <c r="M1923" s="82"/>
      <c r="N1923" s="78"/>
      <c r="O1923" s="78"/>
      <c r="P1923" s="78"/>
      <c r="Q1923" s="78"/>
      <c r="R1923" s="78"/>
      <c r="S1923" s="78"/>
      <c r="T1923" s="83"/>
    </row>
    <row r="1924" spans="1:20" ht="15" customHeight="1" x14ac:dyDescent="0.3">
      <c r="A1924" s="73"/>
      <c r="B1924" s="74"/>
      <c r="C1924" s="75"/>
      <c r="D1924" s="76"/>
      <c r="E1924" s="77"/>
      <c r="F1924" s="78"/>
      <c r="G1924" s="78"/>
      <c r="H1924" s="79"/>
      <c r="I1924" s="80"/>
      <c r="J1924" s="77"/>
      <c r="K1924" s="81" t="b">
        <v>0</v>
      </c>
      <c r="L1924" s="78"/>
      <c r="M1924" s="82"/>
      <c r="N1924" s="78"/>
      <c r="O1924" s="78"/>
      <c r="P1924" s="78"/>
      <c r="Q1924" s="78"/>
      <c r="R1924" s="78"/>
      <c r="S1924" s="78"/>
      <c r="T1924" s="83"/>
    </row>
    <row r="1925" spans="1:20" ht="15" customHeight="1" x14ac:dyDescent="0.3">
      <c r="A1925" s="73"/>
      <c r="B1925" s="74"/>
      <c r="C1925" s="75"/>
      <c r="D1925" s="76"/>
      <c r="E1925" s="77"/>
      <c r="F1925" s="78"/>
      <c r="G1925" s="78"/>
      <c r="H1925" s="79"/>
      <c r="I1925" s="80"/>
      <c r="J1925" s="77"/>
      <c r="K1925" s="81" t="b">
        <v>0</v>
      </c>
      <c r="L1925" s="78"/>
      <c r="M1925" s="82"/>
      <c r="N1925" s="78"/>
      <c r="O1925" s="78"/>
      <c r="P1925" s="78"/>
      <c r="Q1925" s="78"/>
      <c r="R1925" s="78"/>
      <c r="S1925" s="78"/>
      <c r="T1925" s="83"/>
    </row>
    <row r="1926" spans="1:20" ht="15" customHeight="1" x14ac:dyDescent="0.3">
      <c r="A1926" s="73"/>
      <c r="B1926" s="74"/>
      <c r="C1926" s="75"/>
      <c r="D1926" s="76"/>
      <c r="E1926" s="77"/>
      <c r="F1926" s="78"/>
      <c r="G1926" s="78"/>
      <c r="H1926" s="79"/>
      <c r="I1926" s="80"/>
      <c r="J1926" s="77"/>
      <c r="K1926" s="81" t="b">
        <v>0</v>
      </c>
      <c r="L1926" s="78"/>
      <c r="M1926" s="82"/>
      <c r="N1926" s="78"/>
      <c r="O1926" s="78"/>
      <c r="P1926" s="78"/>
      <c r="Q1926" s="78"/>
      <c r="R1926" s="78"/>
      <c r="S1926" s="78"/>
      <c r="T1926" s="83"/>
    </row>
    <row r="1927" spans="1:20" ht="15" customHeight="1" x14ac:dyDescent="0.3">
      <c r="A1927" s="73"/>
      <c r="B1927" s="74"/>
      <c r="C1927" s="75"/>
      <c r="D1927" s="76"/>
      <c r="E1927" s="77"/>
      <c r="F1927" s="78"/>
      <c r="G1927" s="78"/>
      <c r="H1927" s="79"/>
      <c r="I1927" s="80"/>
      <c r="J1927" s="77"/>
      <c r="K1927" s="81" t="b">
        <v>0</v>
      </c>
      <c r="L1927" s="78"/>
      <c r="M1927" s="82"/>
      <c r="N1927" s="78"/>
      <c r="O1927" s="78"/>
      <c r="P1927" s="78"/>
      <c r="Q1927" s="78"/>
      <c r="R1927" s="78"/>
      <c r="S1927" s="78"/>
      <c r="T1927" s="83"/>
    </row>
    <row r="1928" spans="1:20" ht="15" customHeight="1" x14ac:dyDescent="0.3">
      <c r="A1928" s="73"/>
      <c r="B1928" s="74"/>
      <c r="C1928" s="75"/>
      <c r="D1928" s="76"/>
      <c r="E1928" s="77"/>
      <c r="F1928" s="78"/>
      <c r="G1928" s="78"/>
      <c r="H1928" s="79"/>
      <c r="I1928" s="80"/>
      <c r="J1928" s="77"/>
      <c r="K1928" s="81" t="b">
        <v>0</v>
      </c>
      <c r="L1928" s="78"/>
      <c r="M1928" s="82"/>
      <c r="N1928" s="78"/>
      <c r="O1928" s="78"/>
      <c r="P1928" s="78"/>
      <c r="Q1928" s="78"/>
      <c r="R1928" s="78"/>
      <c r="S1928" s="78"/>
      <c r="T1928" s="83"/>
    </row>
    <row r="1929" spans="1:20" ht="15" customHeight="1" x14ac:dyDescent="0.3">
      <c r="A1929" s="73"/>
      <c r="B1929" s="74"/>
      <c r="C1929" s="75"/>
      <c r="D1929" s="76"/>
      <c r="E1929" s="77"/>
      <c r="F1929" s="78"/>
      <c r="G1929" s="78"/>
      <c r="H1929" s="79"/>
      <c r="I1929" s="80"/>
      <c r="J1929" s="77"/>
      <c r="K1929" s="81" t="b">
        <v>0</v>
      </c>
      <c r="L1929" s="78"/>
      <c r="M1929" s="82"/>
      <c r="N1929" s="78"/>
      <c r="O1929" s="78"/>
      <c r="P1929" s="78"/>
      <c r="Q1929" s="78"/>
      <c r="R1929" s="78"/>
      <c r="S1929" s="78"/>
      <c r="T1929" s="83"/>
    </row>
    <row r="1930" spans="1:20" ht="15" customHeight="1" x14ac:dyDescent="0.3">
      <c r="A1930" s="73"/>
      <c r="B1930" s="74"/>
      <c r="C1930" s="75"/>
      <c r="D1930" s="76"/>
      <c r="E1930" s="77"/>
      <c r="F1930" s="78"/>
      <c r="G1930" s="78"/>
      <c r="H1930" s="79"/>
      <c r="I1930" s="80"/>
      <c r="J1930" s="77"/>
      <c r="K1930" s="81" t="b">
        <v>0</v>
      </c>
      <c r="L1930" s="78"/>
      <c r="M1930" s="82"/>
      <c r="N1930" s="78"/>
      <c r="O1930" s="78"/>
      <c r="P1930" s="78"/>
      <c r="Q1930" s="78"/>
      <c r="R1930" s="78"/>
      <c r="S1930" s="78"/>
      <c r="T1930" s="83"/>
    </row>
    <row r="1931" spans="1:20" ht="15" customHeight="1" x14ac:dyDescent="0.3">
      <c r="A1931" s="73"/>
      <c r="B1931" s="74"/>
      <c r="C1931" s="75"/>
      <c r="D1931" s="76"/>
      <c r="E1931" s="77"/>
      <c r="F1931" s="78"/>
      <c r="G1931" s="78"/>
      <c r="H1931" s="79"/>
      <c r="I1931" s="80"/>
      <c r="J1931" s="77"/>
      <c r="K1931" s="81" t="b">
        <v>0</v>
      </c>
      <c r="L1931" s="78"/>
      <c r="M1931" s="82"/>
      <c r="N1931" s="78"/>
      <c r="O1931" s="78"/>
      <c r="P1931" s="78"/>
      <c r="Q1931" s="78"/>
      <c r="R1931" s="78"/>
      <c r="S1931" s="78"/>
      <c r="T1931" s="83"/>
    </row>
    <row r="1932" spans="1:20" ht="15" customHeight="1" x14ac:dyDescent="0.3">
      <c r="A1932" s="73"/>
      <c r="B1932" s="74"/>
      <c r="C1932" s="75"/>
      <c r="D1932" s="76"/>
      <c r="E1932" s="77"/>
      <c r="F1932" s="78"/>
      <c r="G1932" s="78"/>
      <c r="H1932" s="79"/>
      <c r="I1932" s="80"/>
      <c r="J1932" s="77"/>
      <c r="K1932" s="81" t="b">
        <v>0</v>
      </c>
      <c r="L1932" s="78"/>
      <c r="M1932" s="82"/>
      <c r="N1932" s="78"/>
      <c r="O1932" s="78"/>
      <c r="P1932" s="78"/>
      <c r="Q1932" s="78"/>
      <c r="R1932" s="78"/>
      <c r="S1932" s="78"/>
      <c r="T1932" s="83"/>
    </row>
    <row r="1933" spans="1:20" ht="15" customHeight="1" x14ac:dyDescent="0.3">
      <c r="A1933" s="73"/>
      <c r="B1933" s="74"/>
      <c r="C1933" s="75"/>
      <c r="D1933" s="76"/>
      <c r="E1933" s="77"/>
      <c r="F1933" s="78"/>
      <c r="G1933" s="78"/>
      <c r="H1933" s="79"/>
      <c r="I1933" s="80"/>
      <c r="J1933" s="77"/>
      <c r="K1933" s="81" t="b">
        <v>0</v>
      </c>
      <c r="L1933" s="78"/>
      <c r="M1933" s="82"/>
      <c r="N1933" s="78"/>
      <c r="O1933" s="78"/>
      <c r="P1933" s="78"/>
      <c r="Q1933" s="78"/>
      <c r="R1933" s="78"/>
      <c r="S1933" s="78"/>
      <c r="T1933" s="83"/>
    </row>
    <row r="1934" spans="1:20" ht="15" customHeight="1" x14ac:dyDescent="0.3">
      <c r="A1934" s="73"/>
      <c r="B1934" s="74"/>
      <c r="C1934" s="75"/>
      <c r="D1934" s="76"/>
      <c r="E1934" s="77"/>
      <c r="F1934" s="78"/>
      <c r="G1934" s="78"/>
      <c r="H1934" s="79"/>
      <c r="I1934" s="80"/>
      <c r="J1934" s="77"/>
      <c r="K1934" s="81" t="b">
        <v>0</v>
      </c>
      <c r="L1934" s="78"/>
      <c r="M1934" s="82"/>
      <c r="N1934" s="78"/>
      <c r="O1934" s="78"/>
      <c r="P1934" s="78"/>
      <c r="Q1934" s="78"/>
      <c r="R1934" s="78"/>
      <c r="S1934" s="78"/>
      <c r="T1934" s="83"/>
    </row>
    <row r="1935" spans="1:20" ht="15" customHeight="1" x14ac:dyDescent="0.3">
      <c r="A1935" s="73"/>
      <c r="B1935" s="74"/>
      <c r="C1935" s="75"/>
      <c r="D1935" s="76"/>
      <c r="E1935" s="77"/>
      <c r="F1935" s="78"/>
      <c r="G1935" s="78"/>
      <c r="H1935" s="79"/>
      <c r="I1935" s="80"/>
      <c r="J1935" s="77"/>
      <c r="K1935" s="81" t="b">
        <v>0</v>
      </c>
      <c r="L1935" s="78"/>
      <c r="M1935" s="82"/>
      <c r="N1935" s="78"/>
      <c r="O1935" s="78"/>
      <c r="P1935" s="78"/>
      <c r="Q1935" s="78"/>
      <c r="R1935" s="78"/>
      <c r="S1935" s="78"/>
      <c r="T1935" s="83"/>
    </row>
    <row r="1936" spans="1:20" ht="15" customHeight="1" x14ac:dyDescent="0.3">
      <c r="A1936" s="73"/>
      <c r="B1936" s="74"/>
      <c r="C1936" s="75"/>
      <c r="D1936" s="76"/>
      <c r="E1936" s="77"/>
      <c r="F1936" s="78"/>
      <c r="G1936" s="78"/>
      <c r="H1936" s="79"/>
      <c r="I1936" s="80"/>
      <c r="J1936" s="77"/>
      <c r="K1936" s="81" t="b">
        <v>0</v>
      </c>
      <c r="L1936" s="78"/>
      <c r="M1936" s="82"/>
      <c r="N1936" s="78"/>
      <c r="O1936" s="78"/>
      <c r="P1936" s="78"/>
      <c r="Q1936" s="78"/>
      <c r="R1936" s="78"/>
      <c r="S1936" s="78"/>
      <c r="T1936" s="83"/>
    </row>
    <row r="1937" spans="1:20" ht="15" customHeight="1" x14ac:dyDescent="0.3">
      <c r="A1937" s="73"/>
      <c r="B1937" s="74"/>
      <c r="C1937" s="75"/>
      <c r="D1937" s="76"/>
      <c r="E1937" s="77"/>
      <c r="F1937" s="78"/>
      <c r="G1937" s="78"/>
      <c r="H1937" s="79"/>
      <c r="I1937" s="80"/>
      <c r="J1937" s="77"/>
      <c r="K1937" s="81" t="b">
        <v>0</v>
      </c>
      <c r="L1937" s="78"/>
      <c r="M1937" s="82"/>
      <c r="N1937" s="78"/>
      <c r="O1937" s="78"/>
      <c r="P1937" s="78"/>
      <c r="Q1937" s="78"/>
      <c r="R1937" s="78"/>
      <c r="S1937" s="78"/>
      <c r="T1937" s="83"/>
    </row>
    <row r="1938" spans="1:20" ht="15" customHeight="1" x14ac:dyDescent="0.3">
      <c r="A1938" s="73"/>
      <c r="B1938" s="74"/>
      <c r="C1938" s="75"/>
      <c r="D1938" s="76"/>
      <c r="E1938" s="77"/>
      <c r="F1938" s="78"/>
      <c r="G1938" s="78"/>
      <c r="H1938" s="79"/>
      <c r="I1938" s="80"/>
      <c r="J1938" s="77"/>
      <c r="K1938" s="81" t="b">
        <v>0</v>
      </c>
      <c r="L1938" s="78"/>
      <c r="M1938" s="82"/>
      <c r="N1938" s="78"/>
      <c r="O1938" s="78"/>
      <c r="P1938" s="78"/>
      <c r="Q1938" s="78"/>
      <c r="R1938" s="78"/>
      <c r="S1938" s="78"/>
      <c r="T1938" s="83"/>
    </row>
    <row r="1939" spans="1:20" ht="15" customHeight="1" x14ac:dyDescent="0.3">
      <c r="A1939" s="73"/>
      <c r="B1939" s="74"/>
      <c r="C1939" s="75"/>
      <c r="D1939" s="76"/>
      <c r="E1939" s="77"/>
      <c r="F1939" s="78"/>
      <c r="G1939" s="78"/>
      <c r="H1939" s="79"/>
      <c r="I1939" s="80"/>
      <c r="J1939" s="77"/>
      <c r="K1939" s="81" t="b">
        <v>0</v>
      </c>
      <c r="L1939" s="78"/>
      <c r="M1939" s="82"/>
      <c r="N1939" s="78"/>
      <c r="O1939" s="78"/>
      <c r="P1939" s="78"/>
      <c r="Q1939" s="78"/>
      <c r="R1939" s="78"/>
      <c r="S1939" s="78"/>
      <c r="T1939" s="83"/>
    </row>
    <row r="1940" spans="1:20" ht="15" customHeight="1" x14ac:dyDescent="0.3">
      <c r="A1940" s="73"/>
      <c r="B1940" s="74"/>
      <c r="C1940" s="75"/>
      <c r="D1940" s="76"/>
      <c r="E1940" s="77"/>
      <c r="F1940" s="78"/>
      <c r="G1940" s="78"/>
      <c r="H1940" s="79"/>
      <c r="I1940" s="80"/>
      <c r="J1940" s="77"/>
      <c r="K1940" s="81" t="b">
        <v>0</v>
      </c>
      <c r="L1940" s="78"/>
      <c r="M1940" s="82"/>
      <c r="N1940" s="78"/>
      <c r="O1940" s="78"/>
      <c r="P1940" s="78"/>
      <c r="Q1940" s="78"/>
      <c r="R1940" s="78"/>
      <c r="S1940" s="78"/>
      <c r="T1940" s="83"/>
    </row>
    <row r="1941" spans="1:20" ht="15" customHeight="1" x14ac:dyDescent="0.3">
      <c r="A1941" s="73"/>
      <c r="B1941" s="74"/>
      <c r="C1941" s="75"/>
      <c r="D1941" s="76"/>
      <c r="E1941" s="77"/>
      <c r="F1941" s="78"/>
      <c r="G1941" s="78"/>
      <c r="H1941" s="79"/>
      <c r="I1941" s="80"/>
      <c r="J1941" s="77"/>
      <c r="K1941" s="81" t="b">
        <v>0</v>
      </c>
      <c r="L1941" s="78"/>
      <c r="M1941" s="82"/>
      <c r="N1941" s="78"/>
      <c r="O1941" s="78"/>
      <c r="P1941" s="78"/>
      <c r="Q1941" s="78"/>
      <c r="R1941" s="78"/>
      <c r="S1941" s="78"/>
      <c r="T1941" s="83"/>
    </row>
    <row r="1942" spans="1:20" ht="15" customHeight="1" x14ac:dyDescent="0.3">
      <c r="A1942" s="73"/>
      <c r="B1942" s="74"/>
      <c r="C1942" s="75"/>
      <c r="D1942" s="76"/>
      <c r="E1942" s="77"/>
      <c r="F1942" s="78"/>
      <c r="G1942" s="78"/>
      <c r="H1942" s="79"/>
      <c r="I1942" s="80"/>
      <c r="J1942" s="77"/>
      <c r="K1942" s="81" t="b">
        <v>0</v>
      </c>
      <c r="L1942" s="78"/>
      <c r="M1942" s="82"/>
      <c r="N1942" s="78"/>
      <c r="O1942" s="78"/>
      <c r="P1942" s="78"/>
      <c r="Q1942" s="78"/>
      <c r="R1942" s="78"/>
      <c r="S1942" s="78"/>
      <c r="T1942" s="83"/>
    </row>
    <row r="1943" spans="1:20" ht="15" customHeight="1" x14ac:dyDescent="0.3">
      <c r="A1943" s="73"/>
      <c r="B1943" s="74"/>
      <c r="C1943" s="75"/>
      <c r="D1943" s="76"/>
      <c r="E1943" s="77"/>
      <c r="F1943" s="78"/>
      <c r="G1943" s="78"/>
      <c r="H1943" s="79"/>
      <c r="I1943" s="80"/>
      <c r="J1943" s="77"/>
      <c r="K1943" s="81" t="b">
        <v>0</v>
      </c>
      <c r="L1943" s="78"/>
      <c r="M1943" s="82"/>
      <c r="N1943" s="78"/>
      <c r="O1943" s="78"/>
      <c r="P1943" s="78"/>
      <c r="Q1943" s="78"/>
      <c r="R1943" s="78"/>
      <c r="S1943" s="78"/>
      <c r="T1943" s="83"/>
    </row>
    <row r="1944" spans="1:20" ht="15" customHeight="1" x14ac:dyDescent="0.3">
      <c r="A1944" s="73"/>
      <c r="B1944" s="74"/>
      <c r="C1944" s="75"/>
      <c r="D1944" s="76"/>
      <c r="E1944" s="77"/>
      <c r="F1944" s="78"/>
      <c r="G1944" s="78"/>
      <c r="H1944" s="79"/>
      <c r="I1944" s="80"/>
      <c r="J1944" s="77"/>
      <c r="K1944" s="81" t="b">
        <v>0</v>
      </c>
      <c r="L1944" s="78"/>
      <c r="M1944" s="82"/>
      <c r="N1944" s="78"/>
      <c r="O1944" s="78"/>
      <c r="P1944" s="78"/>
      <c r="Q1944" s="78"/>
      <c r="R1944" s="78"/>
      <c r="S1944" s="78"/>
      <c r="T1944" s="83"/>
    </row>
    <row r="1945" spans="1:20" ht="15" customHeight="1" x14ac:dyDescent="0.3">
      <c r="A1945" s="73"/>
      <c r="B1945" s="74"/>
      <c r="C1945" s="75"/>
      <c r="D1945" s="76"/>
      <c r="E1945" s="77"/>
      <c r="F1945" s="78"/>
      <c r="G1945" s="78"/>
      <c r="H1945" s="79"/>
      <c r="I1945" s="80"/>
      <c r="J1945" s="77"/>
      <c r="K1945" s="81" t="b">
        <v>0</v>
      </c>
      <c r="L1945" s="78"/>
      <c r="M1945" s="82"/>
      <c r="N1945" s="78"/>
      <c r="O1945" s="78"/>
      <c r="P1945" s="78"/>
      <c r="Q1945" s="78"/>
      <c r="R1945" s="78"/>
      <c r="S1945" s="78"/>
      <c r="T1945" s="83"/>
    </row>
    <row r="1946" spans="1:20" ht="15" customHeight="1" x14ac:dyDescent="0.3">
      <c r="A1946" s="73"/>
      <c r="B1946" s="74"/>
      <c r="C1946" s="75"/>
      <c r="D1946" s="76"/>
      <c r="E1946" s="77"/>
      <c r="F1946" s="78"/>
      <c r="G1946" s="78"/>
      <c r="H1946" s="79"/>
      <c r="I1946" s="80"/>
      <c r="J1946" s="77"/>
      <c r="K1946" s="81" t="b">
        <v>0</v>
      </c>
      <c r="L1946" s="78"/>
      <c r="M1946" s="82"/>
      <c r="N1946" s="78"/>
      <c r="O1946" s="78"/>
      <c r="P1946" s="78"/>
      <c r="Q1946" s="78"/>
      <c r="R1946" s="78"/>
      <c r="S1946" s="78"/>
      <c r="T1946" s="83"/>
    </row>
    <row r="1947" spans="1:20" ht="15" customHeight="1" x14ac:dyDescent="0.3">
      <c r="A1947" s="73"/>
      <c r="B1947" s="74"/>
      <c r="C1947" s="75"/>
      <c r="D1947" s="76"/>
      <c r="E1947" s="77"/>
      <c r="F1947" s="78"/>
      <c r="G1947" s="78"/>
      <c r="H1947" s="79"/>
      <c r="I1947" s="80"/>
      <c r="J1947" s="77"/>
      <c r="K1947" s="81" t="b">
        <v>0</v>
      </c>
      <c r="L1947" s="78"/>
      <c r="M1947" s="82"/>
      <c r="N1947" s="78"/>
      <c r="O1947" s="78"/>
      <c r="P1947" s="78"/>
      <c r="Q1947" s="78"/>
      <c r="R1947" s="78"/>
      <c r="S1947" s="78"/>
      <c r="T1947" s="83"/>
    </row>
    <row r="1948" spans="1:20" ht="15" customHeight="1" x14ac:dyDescent="0.3">
      <c r="A1948" s="73"/>
      <c r="B1948" s="74"/>
      <c r="C1948" s="75"/>
      <c r="D1948" s="76"/>
      <c r="E1948" s="77"/>
      <c r="F1948" s="78"/>
      <c r="G1948" s="78"/>
      <c r="H1948" s="79"/>
      <c r="I1948" s="80"/>
      <c r="J1948" s="77"/>
      <c r="K1948" s="81" t="b">
        <v>0</v>
      </c>
      <c r="L1948" s="78"/>
      <c r="M1948" s="82"/>
      <c r="N1948" s="78"/>
      <c r="O1948" s="78"/>
      <c r="P1948" s="78"/>
      <c r="Q1948" s="78"/>
      <c r="R1948" s="78"/>
      <c r="S1948" s="78"/>
      <c r="T1948" s="83"/>
    </row>
    <row r="1949" spans="1:20" ht="15" customHeight="1" x14ac:dyDescent="0.3">
      <c r="A1949" s="73"/>
      <c r="B1949" s="74"/>
      <c r="C1949" s="75"/>
      <c r="D1949" s="76"/>
      <c r="E1949" s="77"/>
      <c r="F1949" s="78"/>
      <c r="G1949" s="78"/>
      <c r="H1949" s="79"/>
      <c r="I1949" s="80"/>
      <c r="J1949" s="77"/>
      <c r="K1949" s="81" t="b">
        <v>0</v>
      </c>
      <c r="L1949" s="78"/>
      <c r="M1949" s="82"/>
      <c r="N1949" s="78"/>
      <c r="O1949" s="78"/>
      <c r="P1949" s="78"/>
      <c r="Q1949" s="78"/>
      <c r="R1949" s="78"/>
      <c r="S1949" s="78"/>
      <c r="T1949" s="83"/>
    </row>
    <row r="1950" spans="1:20" ht="15" customHeight="1" x14ac:dyDescent="0.3">
      <c r="A1950" s="73"/>
      <c r="B1950" s="74"/>
      <c r="C1950" s="75"/>
      <c r="D1950" s="76"/>
      <c r="E1950" s="77"/>
      <c r="F1950" s="78"/>
      <c r="G1950" s="78"/>
      <c r="H1950" s="79"/>
      <c r="I1950" s="80"/>
      <c r="J1950" s="77"/>
      <c r="K1950" s="81" t="b">
        <v>0</v>
      </c>
      <c r="L1950" s="78"/>
      <c r="M1950" s="82"/>
      <c r="N1950" s="78"/>
      <c r="O1950" s="78"/>
      <c r="P1950" s="78"/>
      <c r="Q1950" s="78"/>
      <c r="R1950" s="78"/>
      <c r="S1950" s="78"/>
      <c r="T1950" s="83"/>
    </row>
    <row r="1951" spans="1:20" ht="15" customHeight="1" x14ac:dyDescent="0.3">
      <c r="A1951" s="73"/>
      <c r="B1951" s="74"/>
      <c r="C1951" s="75"/>
      <c r="D1951" s="76"/>
      <c r="E1951" s="77"/>
      <c r="F1951" s="78"/>
      <c r="G1951" s="78"/>
      <c r="H1951" s="79"/>
      <c r="I1951" s="80"/>
      <c r="J1951" s="77"/>
      <c r="K1951" s="81" t="b">
        <v>0</v>
      </c>
      <c r="L1951" s="78"/>
      <c r="M1951" s="82"/>
      <c r="N1951" s="78"/>
      <c r="O1951" s="78"/>
      <c r="P1951" s="78"/>
      <c r="Q1951" s="78"/>
      <c r="R1951" s="78"/>
      <c r="S1951" s="78"/>
      <c r="T1951" s="83"/>
    </row>
    <row r="1952" spans="1:20" ht="15" customHeight="1" x14ac:dyDescent="0.3">
      <c r="A1952" s="73"/>
      <c r="B1952" s="74"/>
      <c r="C1952" s="75"/>
      <c r="D1952" s="76"/>
      <c r="E1952" s="77"/>
      <c r="F1952" s="78"/>
      <c r="G1952" s="78"/>
      <c r="H1952" s="79"/>
      <c r="I1952" s="80"/>
      <c r="J1952" s="77"/>
      <c r="K1952" s="81" t="b">
        <v>0</v>
      </c>
      <c r="L1952" s="78"/>
      <c r="M1952" s="82"/>
      <c r="N1952" s="78"/>
      <c r="O1952" s="78"/>
      <c r="P1952" s="78"/>
      <c r="Q1952" s="78"/>
      <c r="R1952" s="78"/>
      <c r="S1952" s="78"/>
      <c r="T1952" s="83"/>
    </row>
    <row r="1953" spans="1:20" ht="15" customHeight="1" x14ac:dyDescent="0.3">
      <c r="A1953" s="73"/>
      <c r="B1953" s="74"/>
      <c r="C1953" s="75"/>
      <c r="D1953" s="76"/>
      <c r="E1953" s="77"/>
      <c r="F1953" s="78"/>
      <c r="G1953" s="78"/>
      <c r="H1953" s="79"/>
      <c r="I1953" s="80"/>
      <c r="J1953" s="77"/>
      <c r="K1953" s="81" t="b">
        <v>0</v>
      </c>
      <c r="L1953" s="78"/>
      <c r="M1953" s="82"/>
      <c r="N1953" s="78"/>
      <c r="O1953" s="78"/>
      <c r="P1953" s="78"/>
      <c r="Q1953" s="78"/>
      <c r="R1953" s="78"/>
      <c r="S1953" s="78"/>
      <c r="T1953" s="83"/>
    </row>
    <row r="1954" spans="1:20" ht="15" customHeight="1" x14ac:dyDescent="0.3">
      <c r="A1954" s="73"/>
      <c r="B1954" s="74"/>
      <c r="C1954" s="75"/>
      <c r="D1954" s="76"/>
      <c r="E1954" s="77"/>
      <c r="F1954" s="78"/>
      <c r="G1954" s="78"/>
      <c r="H1954" s="79"/>
      <c r="I1954" s="80"/>
      <c r="J1954" s="77"/>
      <c r="K1954" s="81" t="b">
        <v>0</v>
      </c>
      <c r="L1954" s="78"/>
      <c r="M1954" s="82"/>
      <c r="N1954" s="78"/>
      <c r="O1954" s="78"/>
      <c r="P1954" s="78"/>
      <c r="Q1954" s="78"/>
      <c r="R1954" s="78"/>
      <c r="S1954" s="78"/>
      <c r="T1954" s="83"/>
    </row>
    <row r="1955" spans="1:20" ht="15" customHeight="1" x14ac:dyDescent="0.3">
      <c r="A1955" s="73"/>
      <c r="B1955" s="74"/>
      <c r="C1955" s="75"/>
      <c r="D1955" s="76"/>
      <c r="E1955" s="77"/>
      <c r="F1955" s="78"/>
      <c r="G1955" s="78"/>
      <c r="H1955" s="79"/>
      <c r="I1955" s="80"/>
      <c r="J1955" s="77"/>
      <c r="K1955" s="81" t="b">
        <v>0</v>
      </c>
      <c r="L1955" s="78"/>
      <c r="M1955" s="82"/>
      <c r="N1955" s="78"/>
      <c r="O1955" s="78"/>
      <c r="P1955" s="78"/>
      <c r="Q1955" s="78"/>
      <c r="R1955" s="78"/>
      <c r="S1955" s="78"/>
      <c r="T1955" s="83"/>
    </row>
    <row r="1956" spans="1:20" ht="15" customHeight="1" x14ac:dyDescent="0.3">
      <c r="A1956" s="73"/>
      <c r="B1956" s="74"/>
      <c r="C1956" s="75"/>
      <c r="D1956" s="76"/>
      <c r="E1956" s="77"/>
      <c r="F1956" s="78"/>
      <c r="G1956" s="78"/>
      <c r="H1956" s="79"/>
      <c r="I1956" s="80"/>
      <c r="J1956" s="77"/>
      <c r="K1956" s="81" t="b">
        <v>0</v>
      </c>
      <c r="L1956" s="78"/>
      <c r="M1956" s="82"/>
      <c r="N1956" s="78"/>
      <c r="O1956" s="78"/>
      <c r="P1956" s="78"/>
      <c r="Q1956" s="78"/>
      <c r="R1956" s="78"/>
      <c r="S1956" s="78"/>
      <c r="T1956" s="83"/>
    </row>
    <row r="1957" spans="1:20" ht="15" customHeight="1" x14ac:dyDescent="0.3">
      <c r="A1957" s="73"/>
      <c r="B1957" s="74"/>
      <c r="C1957" s="75"/>
      <c r="D1957" s="76"/>
      <c r="E1957" s="77"/>
      <c r="F1957" s="78"/>
      <c r="G1957" s="78"/>
      <c r="H1957" s="79"/>
      <c r="I1957" s="80"/>
      <c r="J1957" s="77"/>
      <c r="K1957" s="81" t="b">
        <v>0</v>
      </c>
      <c r="L1957" s="78"/>
      <c r="M1957" s="82"/>
      <c r="N1957" s="78"/>
      <c r="O1957" s="78"/>
      <c r="P1957" s="78"/>
      <c r="Q1957" s="78"/>
      <c r="R1957" s="78"/>
      <c r="S1957" s="78"/>
      <c r="T1957" s="83"/>
    </row>
    <row r="1958" spans="1:20" ht="15" customHeight="1" x14ac:dyDescent="0.3">
      <c r="A1958" s="73"/>
      <c r="B1958" s="74"/>
      <c r="C1958" s="75"/>
      <c r="D1958" s="76"/>
      <c r="E1958" s="77"/>
      <c r="F1958" s="78"/>
      <c r="G1958" s="78"/>
      <c r="H1958" s="79"/>
      <c r="I1958" s="80"/>
      <c r="J1958" s="77"/>
      <c r="K1958" s="81" t="b">
        <v>0</v>
      </c>
      <c r="L1958" s="78"/>
      <c r="M1958" s="82"/>
      <c r="N1958" s="78"/>
      <c r="O1958" s="78"/>
      <c r="P1958" s="78"/>
      <c r="Q1958" s="78"/>
      <c r="R1958" s="78"/>
      <c r="S1958" s="78"/>
      <c r="T1958" s="83"/>
    </row>
    <row r="1959" spans="1:20" ht="15" customHeight="1" x14ac:dyDescent="0.3">
      <c r="A1959" s="73"/>
      <c r="B1959" s="74"/>
      <c r="C1959" s="75"/>
      <c r="D1959" s="76"/>
      <c r="E1959" s="77"/>
      <c r="F1959" s="78"/>
      <c r="G1959" s="78"/>
      <c r="H1959" s="79"/>
      <c r="I1959" s="80"/>
      <c r="J1959" s="77"/>
      <c r="K1959" s="81" t="b">
        <v>0</v>
      </c>
      <c r="L1959" s="78"/>
      <c r="M1959" s="82"/>
      <c r="N1959" s="78"/>
      <c r="O1959" s="78"/>
      <c r="P1959" s="78"/>
      <c r="Q1959" s="78"/>
      <c r="R1959" s="78"/>
      <c r="S1959" s="78"/>
      <c r="T1959" s="83"/>
    </row>
    <row r="1960" spans="1:20" ht="15" customHeight="1" x14ac:dyDescent="0.3">
      <c r="A1960" s="73"/>
      <c r="B1960" s="74"/>
      <c r="C1960" s="75"/>
      <c r="D1960" s="76"/>
      <c r="E1960" s="77"/>
      <c r="F1960" s="78"/>
      <c r="G1960" s="78"/>
      <c r="H1960" s="79"/>
      <c r="I1960" s="80"/>
      <c r="J1960" s="77"/>
      <c r="K1960" s="81" t="b">
        <v>0</v>
      </c>
      <c r="L1960" s="78"/>
      <c r="M1960" s="82"/>
      <c r="N1960" s="78"/>
      <c r="O1960" s="78"/>
      <c r="P1960" s="78"/>
      <c r="Q1960" s="78"/>
      <c r="R1960" s="78"/>
      <c r="S1960" s="78"/>
      <c r="T1960" s="83"/>
    </row>
    <row r="1961" spans="1:20" ht="15" customHeight="1" x14ac:dyDescent="0.3">
      <c r="A1961" s="73"/>
      <c r="B1961" s="74"/>
      <c r="C1961" s="75"/>
      <c r="D1961" s="76"/>
      <c r="E1961" s="77"/>
      <c r="F1961" s="78"/>
      <c r="G1961" s="78"/>
      <c r="H1961" s="79"/>
      <c r="I1961" s="80"/>
      <c r="J1961" s="77"/>
      <c r="K1961" s="81" t="b">
        <v>0</v>
      </c>
      <c r="L1961" s="78"/>
      <c r="M1961" s="82"/>
      <c r="N1961" s="78"/>
      <c r="O1961" s="78"/>
      <c r="P1961" s="78"/>
      <c r="Q1961" s="78"/>
      <c r="R1961" s="78"/>
      <c r="S1961" s="78"/>
      <c r="T1961" s="83"/>
    </row>
    <row r="1962" spans="1:20" ht="15" customHeight="1" x14ac:dyDescent="0.3">
      <c r="A1962" s="73"/>
      <c r="B1962" s="74"/>
      <c r="C1962" s="75"/>
      <c r="D1962" s="76"/>
      <c r="E1962" s="77"/>
      <c r="F1962" s="78"/>
      <c r="G1962" s="78"/>
      <c r="H1962" s="79"/>
      <c r="I1962" s="80"/>
      <c r="J1962" s="77"/>
      <c r="K1962" s="81" t="b">
        <v>0</v>
      </c>
      <c r="L1962" s="78"/>
      <c r="M1962" s="82"/>
      <c r="N1962" s="78"/>
      <c r="O1962" s="78"/>
      <c r="P1962" s="78"/>
      <c r="Q1962" s="78"/>
      <c r="R1962" s="78"/>
      <c r="S1962" s="78"/>
      <c r="T1962" s="83"/>
    </row>
    <row r="1963" spans="1:20" ht="15" customHeight="1" x14ac:dyDescent="0.3">
      <c r="A1963" s="73"/>
      <c r="B1963" s="74"/>
      <c r="C1963" s="75"/>
      <c r="D1963" s="76"/>
      <c r="E1963" s="77"/>
      <c r="F1963" s="78"/>
      <c r="G1963" s="78"/>
      <c r="H1963" s="79"/>
      <c r="I1963" s="80"/>
      <c r="J1963" s="77"/>
      <c r="K1963" s="81" t="b">
        <v>0</v>
      </c>
      <c r="L1963" s="78"/>
      <c r="M1963" s="82"/>
      <c r="N1963" s="78"/>
      <c r="O1963" s="78"/>
      <c r="P1963" s="78"/>
      <c r="Q1963" s="78"/>
      <c r="R1963" s="78"/>
      <c r="S1963" s="78"/>
      <c r="T1963" s="83"/>
    </row>
    <row r="1964" spans="1:20" ht="15" customHeight="1" x14ac:dyDescent="0.3">
      <c r="A1964" s="73"/>
      <c r="B1964" s="74"/>
      <c r="C1964" s="75"/>
      <c r="D1964" s="76"/>
      <c r="E1964" s="77"/>
      <c r="F1964" s="78"/>
      <c r="G1964" s="78"/>
      <c r="H1964" s="79"/>
      <c r="I1964" s="80"/>
      <c r="J1964" s="77"/>
      <c r="K1964" s="81" t="b">
        <v>0</v>
      </c>
      <c r="L1964" s="78"/>
      <c r="M1964" s="82"/>
      <c r="N1964" s="78"/>
      <c r="O1964" s="78"/>
      <c r="P1964" s="78"/>
      <c r="Q1964" s="78"/>
      <c r="R1964" s="78"/>
      <c r="S1964" s="78"/>
      <c r="T1964" s="83"/>
    </row>
    <row r="1965" spans="1:20" ht="15" customHeight="1" x14ac:dyDescent="0.3">
      <c r="A1965" s="73"/>
      <c r="B1965" s="74"/>
      <c r="C1965" s="75"/>
      <c r="D1965" s="76"/>
      <c r="E1965" s="77"/>
      <c r="F1965" s="78"/>
      <c r="G1965" s="78"/>
      <c r="H1965" s="79"/>
      <c r="I1965" s="80"/>
      <c r="J1965" s="77"/>
      <c r="K1965" s="81" t="b">
        <v>0</v>
      </c>
      <c r="L1965" s="78"/>
      <c r="M1965" s="82"/>
      <c r="N1965" s="78"/>
      <c r="O1965" s="78"/>
      <c r="P1965" s="78"/>
      <c r="Q1965" s="78"/>
      <c r="R1965" s="78"/>
      <c r="S1965" s="78"/>
      <c r="T1965" s="83"/>
    </row>
    <row r="1966" spans="1:20" ht="15" customHeight="1" x14ac:dyDescent="0.3">
      <c r="A1966" s="73"/>
      <c r="B1966" s="74"/>
      <c r="C1966" s="75"/>
      <c r="D1966" s="76"/>
      <c r="E1966" s="77"/>
      <c r="F1966" s="78"/>
      <c r="G1966" s="78"/>
      <c r="H1966" s="79"/>
      <c r="I1966" s="80"/>
      <c r="J1966" s="77"/>
      <c r="K1966" s="81" t="b">
        <v>0</v>
      </c>
      <c r="L1966" s="78"/>
      <c r="M1966" s="82"/>
      <c r="N1966" s="78"/>
      <c r="O1966" s="78"/>
      <c r="P1966" s="78"/>
      <c r="Q1966" s="78"/>
      <c r="R1966" s="78"/>
      <c r="S1966" s="78"/>
      <c r="T1966" s="83"/>
    </row>
    <row r="1967" spans="1:20" ht="15" customHeight="1" x14ac:dyDescent="0.3">
      <c r="A1967" s="73"/>
      <c r="B1967" s="74"/>
      <c r="C1967" s="75"/>
      <c r="D1967" s="76"/>
      <c r="E1967" s="77"/>
      <c r="F1967" s="78"/>
      <c r="G1967" s="78"/>
      <c r="H1967" s="79"/>
      <c r="I1967" s="80"/>
      <c r="J1967" s="77"/>
      <c r="K1967" s="81" t="b">
        <v>0</v>
      </c>
      <c r="L1967" s="78"/>
      <c r="M1967" s="82"/>
      <c r="N1967" s="78"/>
      <c r="O1967" s="78"/>
      <c r="P1967" s="78"/>
      <c r="Q1967" s="78"/>
      <c r="R1967" s="78"/>
      <c r="S1967" s="78"/>
      <c r="T1967" s="83"/>
    </row>
    <row r="1968" spans="1:20" ht="15" customHeight="1" x14ac:dyDescent="0.3">
      <c r="A1968" s="73"/>
      <c r="B1968" s="74"/>
      <c r="C1968" s="75"/>
      <c r="D1968" s="76"/>
      <c r="E1968" s="77"/>
      <c r="F1968" s="78"/>
      <c r="G1968" s="78"/>
      <c r="H1968" s="79"/>
      <c r="I1968" s="80"/>
      <c r="J1968" s="77"/>
      <c r="K1968" s="81" t="b">
        <v>0</v>
      </c>
      <c r="L1968" s="78"/>
      <c r="M1968" s="82"/>
      <c r="N1968" s="78"/>
      <c r="O1968" s="78"/>
      <c r="P1968" s="78"/>
      <c r="Q1968" s="78"/>
      <c r="R1968" s="78"/>
      <c r="S1968" s="78"/>
      <c r="T1968" s="83"/>
    </row>
    <row r="1969" spans="1:20" ht="15" customHeight="1" x14ac:dyDescent="0.3">
      <c r="A1969" s="73"/>
      <c r="B1969" s="74"/>
      <c r="C1969" s="75"/>
      <c r="D1969" s="76"/>
      <c r="E1969" s="77"/>
      <c r="F1969" s="78"/>
      <c r="G1969" s="78"/>
      <c r="H1969" s="79"/>
      <c r="I1969" s="80"/>
      <c r="J1969" s="77"/>
      <c r="K1969" s="81" t="b">
        <v>0</v>
      </c>
      <c r="L1969" s="78"/>
      <c r="M1969" s="82"/>
      <c r="N1969" s="78"/>
      <c r="O1969" s="78"/>
      <c r="P1969" s="78"/>
      <c r="Q1969" s="78"/>
      <c r="R1969" s="78"/>
      <c r="S1969" s="78"/>
      <c r="T1969" s="83"/>
    </row>
    <row r="1970" spans="1:20" ht="15" customHeight="1" x14ac:dyDescent="0.3">
      <c r="A1970" s="73"/>
      <c r="B1970" s="74"/>
      <c r="C1970" s="75"/>
      <c r="D1970" s="76"/>
      <c r="E1970" s="77"/>
      <c r="F1970" s="78"/>
      <c r="G1970" s="78"/>
      <c r="H1970" s="79"/>
      <c r="I1970" s="80"/>
      <c r="J1970" s="77"/>
      <c r="K1970" s="81" t="b">
        <v>0</v>
      </c>
      <c r="L1970" s="78"/>
      <c r="M1970" s="82"/>
      <c r="N1970" s="78"/>
      <c r="O1970" s="78"/>
      <c r="P1970" s="78"/>
      <c r="Q1970" s="78"/>
      <c r="R1970" s="78"/>
      <c r="S1970" s="78"/>
      <c r="T1970" s="83"/>
    </row>
    <row r="1971" spans="1:20" ht="15" customHeight="1" x14ac:dyDescent="0.3">
      <c r="A1971" s="73"/>
      <c r="B1971" s="74"/>
      <c r="C1971" s="75"/>
      <c r="D1971" s="76"/>
      <c r="E1971" s="77"/>
      <c r="F1971" s="78"/>
      <c r="G1971" s="78"/>
      <c r="H1971" s="79"/>
      <c r="I1971" s="80"/>
      <c r="J1971" s="77"/>
      <c r="K1971" s="81" t="b">
        <v>0</v>
      </c>
      <c r="L1971" s="78"/>
      <c r="M1971" s="82"/>
      <c r="N1971" s="78"/>
      <c r="O1971" s="78"/>
      <c r="P1971" s="78"/>
      <c r="Q1971" s="78"/>
      <c r="R1971" s="78"/>
      <c r="S1971" s="78"/>
      <c r="T1971" s="83"/>
    </row>
    <row r="1972" spans="1:20" ht="15" customHeight="1" x14ac:dyDescent="0.3">
      <c r="A1972" s="73"/>
      <c r="B1972" s="74"/>
      <c r="C1972" s="75"/>
      <c r="D1972" s="76"/>
      <c r="E1972" s="77"/>
      <c r="F1972" s="78"/>
      <c r="G1972" s="78"/>
      <c r="H1972" s="79"/>
      <c r="I1972" s="80"/>
      <c r="J1972" s="77"/>
      <c r="K1972" s="81" t="b">
        <v>0</v>
      </c>
      <c r="L1972" s="78"/>
      <c r="M1972" s="82"/>
      <c r="N1972" s="78"/>
      <c r="O1972" s="78"/>
      <c r="P1972" s="78"/>
      <c r="Q1972" s="78"/>
      <c r="R1972" s="78"/>
      <c r="S1972" s="78"/>
      <c r="T1972" s="83"/>
    </row>
    <row r="1973" spans="1:20" ht="15" customHeight="1" x14ac:dyDescent="0.3">
      <c r="A1973" s="73"/>
      <c r="B1973" s="74"/>
      <c r="C1973" s="75"/>
      <c r="D1973" s="76"/>
      <c r="E1973" s="77"/>
      <c r="F1973" s="78"/>
      <c r="G1973" s="78"/>
      <c r="H1973" s="79"/>
      <c r="I1973" s="80"/>
      <c r="J1973" s="77"/>
      <c r="K1973" s="81" t="b">
        <v>0</v>
      </c>
      <c r="L1973" s="78"/>
      <c r="M1973" s="82"/>
      <c r="N1973" s="78"/>
      <c r="O1973" s="78"/>
      <c r="P1973" s="78"/>
      <c r="Q1973" s="78"/>
      <c r="R1973" s="78"/>
      <c r="S1973" s="78"/>
      <c r="T1973" s="83"/>
    </row>
    <row r="1974" spans="1:20" ht="15" customHeight="1" x14ac:dyDescent="0.3">
      <c r="A1974" s="73"/>
      <c r="B1974" s="74"/>
      <c r="C1974" s="75"/>
      <c r="D1974" s="76"/>
      <c r="E1974" s="77"/>
      <c r="F1974" s="78"/>
      <c r="G1974" s="78"/>
      <c r="H1974" s="79"/>
      <c r="I1974" s="80"/>
      <c r="J1974" s="77"/>
      <c r="K1974" s="81" t="b">
        <v>0</v>
      </c>
      <c r="L1974" s="78"/>
      <c r="M1974" s="82"/>
      <c r="N1974" s="78"/>
      <c r="O1974" s="78"/>
      <c r="P1974" s="78"/>
      <c r="Q1974" s="78"/>
      <c r="R1974" s="78"/>
      <c r="S1974" s="78"/>
      <c r="T1974" s="83"/>
    </row>
    <row r="1975" spans="1:20" ht="15" customHeight="1" x14ac:dyDescent="0.3">
      <c r="A1975" s="73"/>
      <c r="B1975" s="74"/>
      <c r="C1975" s="75"/>
      <c r="D1975" s="76"/>
      <c r="E1975" s="77"/>
      <c r="F1975" s="78"/>
      <c r="G1975" s="78"/>
      <c r="H1975" s="79"/>
      <c r="I1975" s="80"/>
      <c r="J1975" s="77"/>
      <c r="K1975" s="81" t="b">
        <v>0</v>
      </c>
      <c r="L1975" s="78"/>
      <c r="M1975" s="82"/>
      <c r="N1975" s="78"/>
      <c r="O1975" s="78"/>
      <c r="P1975" s="78"/>
      <c r="Q1975" s="78"/>
      <c r="R1975" s="78"/>
      <c r="S1975" s="78"/>
      <c r="T1975" s="83"/>
    </row>
    <row r="1976" spans="1:20" ht="15" customHeight="1" x14ac:dyDescent="0.3">
      <c r="A1976" s="73"/>
      <c r="B1976" s="74"/>
      <c r="C1976" s="75"/>
      <c r="D1976" s="76"/>
      <c r="E1976" s="77"/>
      <c r="F1976" s="78"/>
      <c r="G1976" s="78"/>
      <c r="H1976" s="79"/>
      <c r="I1976" s="80"/>
      <c r="J1976" s="77"/>
      <c r="K1976" s="81" t="b">
        <v>0</v>
      </c>
      <c r="L1976" s="78"/>
      <c r="M1976" s="82"/>
      <c r="N1976" s="78"/>
      <c r="O1976" s="78"/>
      <c r="P1976" s="78"/>
      <c r="Q1976" s="78"/>
      <c r="R1976" s="78"/>
      <c r="S1976" s="78"/>
      <c r="T1976" s="83"/>
    </row>
    <row r="1977" spans="1:20" ht="15" customHeight="1" x14ac:dyDescent="0.3">
      <c r="A1977" s="73"/>
      <c r="B1977" s="74"/>
      <c r="C1977" s="75"/>
      <c r="D1977" s="76"/>
      <c r="E1977" s="77"/>
      <c r="F1977" s="78"/>
      <c r="G1977" s="78"/>
      <c r="H1977" s="79"/>
      <c r="I1977" s="80"/>
      <c r="J1977" s="77"/>
      <c r="K1977" s="81" t="b">
        <v>0</v>
      </c>
      <c r="L1977" s="78"/>
      <c r="M1977" s="82"/>
      <c r="N1977" s="78"/>
      <c r="O1977" s="78"/>
      <c r="P1977" s="78"/>
      <c r="Q1977" s="78"/>
      <c r="R1977" s="78"/>
      <c r="S1977" s="78"/>
      <c r="T1977" s="83"/>
    </row>
    <row r="1978" spans="1:20" ht="15" customHeight="1" x14ac:dyDescent="0.3">
      <c r="A1978" s="73"/>
      <c r="B1978" s="74"/>
      <c r="C1978" s="75"/>
      <c r="D1978" s="76"/>
      <c r="E1978" s="77"/>
      <c r="F1978" s="78"/>
      <c r="G1978" s="78"/>
      <c r="H1978" s="79"/>
      <c r="I1978" s="80"/>
      <c r="J1978" s="77"/>
      <c r="K1978" s="81" t="b">
        <v>0</v>
      </c>
      <c r="L1978" s="78"/>
      <c r="M1978" s="82"/>
      <c r="N1978" s="78"/>
      <c r="O1978" s="78"/>
      <c r="P1978" s="78"/>
      <c r="Q1978" s="78"/>
      <c r="R1978" s="78"/>
      <c r="S1978" s="78"/>
      <c r="T1978" s="83"/>
    </row>
    <row r="1979" spans="1:20" ht="15" customHeight="1" x14ac:dyDescent="0.3">
      <c r="A1979" s="73"/>
      <c r="B1979" s="74"/>
      <c r="C1979" s="75"/>
      <c r="D1979" s="76"/>
      <c r="E1979" s="77"/>
      <c r="F1979" s="78"/>
      <c r="G1979" s="78"/>
      <c r="H1979" s="79"/>
      <c r="I1979" s="80"/>
      <c r="J1979" s="77"/>
      <c r="K1979" s="81" t="b">
        <v>0</v>
      </c>
      <c r="L1979" s="78"/>
      <c r="M1979" s="82"/>
      <c r="N1979" s="78"/>
      <c r="O1979" s="78"/>
      <c r="P1979" s="78"/>
      <c r="Q1979" s="78"/>
      <c r="R1979" s="78"/>
      <c r="S1979" s="78"/>
      <c r="T1979" s="83"/>
    </row>
    <row r="1980" spans="1:20" ht="15" customHeight="1" x14ac:dyDescent="0.3">
      <c r="A1980" s="73"/>
      <c r="B1980" s="74"/>
      <c r="C1980" s="75"/>
      <c r="D1980" s="76"/>
      <c r="E1980" s="77"/>
      <c r="F1980" s="78"/>
      <c r="G1980" s="78"/>
      <c r="H1980" s="79"/>
      <c r="I1980" s="80"/>
      <c r="J1980" s="77"/>
      <c r="K1980" s="81" t="b">
        <v>0</v>
      </c>
      <c r="L1980" s="78"/>
      <c r="M1980" s="82"/>
      <c r="N1980" s="78"/>
      <c r="O1980" s="78"/>
      <c r="P1980" s="78"/>
      <c r="Q1980" s="78"/>
      <c r="R1980" s="78"/>
      <c r="S1980" s="78"/>
      <c r="T1980" s="83"/>
    </row>
    <row r="1981" spans="1:20" ht="15" customHeight="1" x14ac:dyDescent="0.3">
      <c r="A1981" s="73"/>
      <c r="B1981" s="74"/>
      <c r="C1981" s="75"/>
      <c r="D1981" s="76"/>
      <c r="E1981" s="77"/>
      <c r="F1981" s="78"/>
      <c r="G1981" s="78"/>
      <c r="H1981" s="79"/>
      <c r="I1981" s="80"/>
      <c r="J1981" s="77"/>
      <c r="K1981" s="81" t="b">
        <v>0</v>
      </c>
      <c r="L1981" s="78"/>
      <c r="M1981" s="82"/>
      <c r="N1981" s="78"/>
      <c r="O1981" s="78"/>
      <c r="P1981" s="78"/>
      <c r="Q1981" s="78"/>
      <c r="R1981" s="78"/>
      <c r="S1981" s="78"/>
      <c r="T1981" s="83"/>
    </row>
    <row r="1982" spans="1:20" ht="15" customHeight="1" x14ac:dyDescent="0.3">
      <c r="A1982" s="73"/>
      <c r="B1982" s="74"/>
      <c r="C1982" s="75"/>
      <c r="D1982" s="76"/>
      <c r="E1982" s="77"/>
      <c r="F1982" s="78"/>
      <c r="G1982" s="78"/>
      <c r="H1982" s="79"/>
      <c r="I1982" s="80"/>
      <c r="J1982" s="77"/>
      <c r="K1982" s="81" t="b">
        <v>0</v>
      </c>
      <c r="L1982" s="78"/>
      <c r="M1982" s="82"/>
      <c r="N1982" s="78"/>
      <c r="O1982" s="78"/>
      <c r="P1982" s="78"/>
      <c r="Q1982" s="78"/>
      <c r="R1982" s="78"/>
      <c r="S1982" s="78"/>
      <c r="T1982" s="83"/>
    </row>
    <row r="1983" spans="1:20" ht="15" customHeight="1" x14ac:dyDescent="0.3">
      <c r="A1983" s="73"/>
      <c r="B1983" s="74"/>
      <c r="C1983" s="75"/>
      <c r="D1983" s="76"/>
      <c r="E1983" s="77"/>
      <c r="F1983" s="78"/>
      <c r="G1983" s="78"/>
      <c r="H1983" s="79"/>
      <c r="I1983" s="80"/>
      <c r="J1983" s="77"/>
      <c r="K1983" s="81" t="b">
        <v>0</v>
      </c>
      <c r="L1983" s="78"/>
      <c r="M1983" s="82"/>
      <c r="N1983" s="78"/>
      <c r="O1983" s="78"/>
      <c r="P1983" s="78"/>
      <c r="Q1983" s="78"/>
      <c r="R1983" s="78"/>
      <c r="S1983" s="78"/>
      <c r="T1983" s="83"/>
    </row>
    <row r="1984" spans="1:20" ht="15" customHeight="1" x14ac:dyDescent="0.3">
      <c r="A1984" s="73"/>
      <c r="B1984" s="74"/>
      <c r="C1984" s="75"/>
      <c r="D1984" s="76"/>
      <c r="E1984" s="77"/>
      <c r="F1984" s="78"/>
      <c r="G1984" s="78"/>
      <c r="H1984" s="79"/>
      <c r="I1984" s="80"/>
      <c r="J1984" s="77"/>
      <c r="K1984" s="81" t="b">
        <v>0</v>
      </c>
      <c r="L1984" s="78"/>
      <c r="M1984" s="82"/>
      <c r="N1984" s="78"/>
      <c r="O1984" s="78"/>
      <c r="P1984" s="78"/>
      <c r="Q1984" s="78"/>
      <c r="R1984" s="78"/>
      <c r="S1984" s="78"/>
      <c r="T1984" s="83"/>
    </row>
    <row r="1985" spans="1:20" ht="15" customHeight="1" x14ac:dyDescent="0.3">
      <c r="A1985" s="73"/>
      <c r="B1985" s="74"/>
      <c r="C1985" s="75"/>
      <c r="D1985" s="76"/>
      <c r="E1985" s="77"/>
      <c r="F1985" s="78"/>
      <c r="G1985" s="78"/>
      <c r="H1985" s="79"/>
      <c r="I1985" s="80"/>
      <c r="J1985" s="77"/>
      <c r="K1985" s="81" t="b">
        <v>0</v>
      </c>
      <c r="L1985" s="78"/>
      <c r="M1985" s="82"/>
      <c r="N1985" s="78"/>
      <c r="O1985" s="78"/>
      <c r="P1985" s="78"/>
      <c r="Q1985" s="78"/>
      <c r="R1985" s="78"/>
      <c r="S1985" s="78"/>
      <c r="T1985" s="83"/>
    </row>
    <row r="1986" spans="1:20" ht="15" customHeight="1" x14ac:dyDescent="0.3">
      <c r="A1986" s="73"/>
      <c r="B1986" s="74"/>
      <c r="C1986" s="75"/>
      <c r="D1986" s="76"/>
      <c r="E1986" s="77"/>
      <c r="F1986" s="78"/>
      <c r="G1986" s="78"/>
      <c r="H1986" s="79"/>
      <c r="I1986" s="80"/>
      <c r="J1986" s="77"/>
      <c r="K1986" s="81" t="b">
        <v>0</v>
      </c>
      <c r="L1986" s="78"/>
      <c r="M1986" s="82"/>
      <c r="N1986" s="78"/>
      <c r="O1986" s="78"/>
      <c r="P1986" s="78"/>
      <c r="Q1986" s="78"/>
      <c r="R1986" s="78"/>
      <c r="S1986" s="78"/>
      <c r="T1986" s="83"/>
    </row>
    <row r="1987" spans="1:20" ht="15" customHeight="1" x14ac:dyDescent="0.3">
      <c r="A1987" s="73"/>
      <c r="B1987" s="74"/>
      <c r="C1987" s="75"/>
      <c r="D1987" s="76"/>
      <c r="E1987" s="77"/>
      <c r="F1987" s="78"/>
      <c r="G1987" s="78"/>
      <c r="H1987" s="79"/>
      <c r="I1987" s="80"/>
      <c r="J1987" s="77"/>
      <c r="K1987" s="81" t="b">
        <v>0</v>
      </c>
      <c r="L1987" s="78"/>
      <c r="M1987" s="82"/>
      <c r="N1987" s="78"/>
      <c r="O1987" s="78"/>
      <c r="P1987" s="78"/>
      <c r="Q1987" s="78"/>
      <c r="R1987" s="78"/>
      <c r="S1987" s="78"/>
      <c r="T1987" s="83"/>
    </row>
    <row r="1988" spans="1:20" ht="15" customHeight="1" x14ac:dyDescent="0.3">
      <c r="A1988" s="73"/>
      <c r="B1988" s="74"/>
      <c r="C1988" s="75"/>
      <c r="D1988" s="76"/>
      <c r="E1988" s="77"/>
      <c r="F1988" s="78"/>
      <c r="G1988" s="78"/>
      <c r="H1988" s="79"/>
      <c r="I1988" s="80"/>
      <c r="J1988" s="77"/>
      <c r="K1988" s="81" t="b">
        <v>0</v>
      </c>
      <c r="L1988" s="78"/>
      <c r="M1988" s="82"/>
      <c r="N1988" s="78"/>
      <c r="O1988" s="78"/>
      <c r="P1988" s="78"/>
      <c r="Q1988" s="78"/>
      <c r="R1988" s="78"/>
      <c r="S1988" s="78"/>
      <c r="T1988" s="83"/>
    </row>
    <row r="1989" spans="1:20" ht="15" customHeight="1" x14ac:dyDescent="0.3">
      <c r="A1989" s="73"/>
      <c r="B1989" s="74"/>
      <c r="C1989" s="75"/>
      <c r="D1989" s="76"/>
      <c r="E1989" s="77"/>
      <c r="F1989" s="78"/>
      <c r="G1989" s="78"/>
      <c r="H1989" s="79"/>
      <c r="I1989" s="80"/>
      <c r="J1989" s="77"/>
      <c r="K1989" s="81" t="b">
        <v>0</v>
      </c>
      <c r="L1989" s="78"/>
      <c r="M1989" s="82"/>
      <c r="N1989" s="78"/>
      <c r="O1989" s="78"/>
      <c r="P1989" s="78"/>
      <c r="Q1989" s="78"/>
      <c r="R1989" s="78"/>
      <c r="S1989" s="78"/>
      <c r="T1989" s="83"/>
    </row>
    <row r="1990" spans="1:20" ht="15" customHeight="1" x14ac:dyDescent="0.3">
      <c r="A1990" s="73"/>
      <c r="B1990" s="74"/>
      <c r="C1990" s="75"/>
      <c r="D1990" s="76"/>
      <c r="E1990" s="77"/>
      <c r="F1990" s="78"/>
      <c r="G1990" s="78"/>
      <c r="H1990" s="79"/>
      <c r="I1990" s="80"/>
      <c r="J1990" s="77"/>
      <c r="K1990" s="81" t="b">
        <v>0</v>
      </c>
      <c r="L1990" s="78"/>
      <c r="M1990" s="82"/>
      <c r="N1990" s="78"/>
      <c r="O1990" s="78"/>
      <c r="P1990" s="78"/>
      <c r="Q1990" s="78"/>
      <c r="R1990" s="78"/>
      <c r="S1990" s="78"/>
      <c r="T1990" s="83"/>
    </row>
    <row r="1991" spans="1:20" ht="15" customHeight="1" x14ac:dyDescent="0.3">
      <c r="A1991" s="73"/>
      <c r="B1991" s="74"/>
      <c r="C1991" s="75"/>
      <c r="D1991" s="76"/>
      <c r="E1991" s="77"/>
      <c r="F1991" s="78"/>
      <c r="G1991" s="78"/>
      <c r="H1991" s="79"/>
      <c r="I1991" s="80"/>
      <c r="J1991" s="77"/>
      <c r="K1991" s="81" t="b">
        <v>0</v>
      </c>
      <c r="L1991" s="78"/>
      <c r="M1991" s="82"/>
      <c r="N1991" s="78"/>
      <c r="O1991" s="78"/>
      <c r="P1991" s="78"/>
      <c r="Q1991" s="78"/>
      <c r="R1991" s="78"/>
      <c r="S1991" s="78"/>
      <c r="T1991" s="83"/>
    </row>
    <row r="1992" spans="1:20" ht="15" customHeight="1" x14ac:dyDescent="0.3">
      <c r="A1992" s="73"/>
      <c r="B1992" s="74"/>
      <c r="C1992" s="75"/>
      <c r="D1992" s="76"/>
      <c r="E1992" s="77"/>
      <c r="F1992" s="78"/>
      <c r="G1992" s="78"/>
      <c r="H1992" s="79"/>
      <c r="I1992" s="80"/>
      <c r="J1992" s="77"/>
      <c r="K1992" s="81" t="b">
        <v>0</v>
      </c>
      <c r="L1992" s="78"/>
      <c r="M1992" s="82"/>
      <c r="N1992" s="78"/>
      <c r="O1992" s="78"/>
      <c r="P1992" s="78"/>
      <c r="Q1992" s="78"/>
      <c r="R1992" s="78"/>
      <c r="S1992" s="78"/>
      <c r="T1992" s="83"/>
    </row>
    <row r="1993" spans="1:20" ht="15" customHeight="1" x14ac:dyDescent="0.3">
      <c r="A1993" s="73"/>
      <c r="B1993" s="74"/>
      <c r="C1993" s="75"/>
      <c r="D1993" s="76"/>
      <c r="E1993" s="77"/>
      <c r="F1993" s="78"/>
      <c r="G1993" s="78"/>
      <c r="H1993" s="79"/>
      <c r="I1993" s="80"/>
      <c r="J1993" s="77"/>
      <c r="K1993" s="81" t="b">
        <v>0</v>
      </c>
      <c r="L1993" s="78"/>
      <c r="M1993" s="82"/>
      <c r="N1993" s="78"/>
      <c r="O1993" s="78"/>
      <c r="P1993" s="78"/>
      <c r="Q1993" s="78"/>
      <c r="R1993" s="78"/>
      <c r="S1993" s="78"/>
      <c r="T1993" s="83"/>
    </row>
    <row r="1994" spans="1:20" ht="15" customHeight="1" x14ac:dyDescent="0.3">
      <c r="A1994" s="73"/>
      <c r="B1994" s="74"/>
      <c r="C1994" s="75"/>
      <c r="D1994" s="76"/>
      <c r="E1994" s="77"/>
      <c r="F1994" s="78"/>
      <c r="G1994" s="78"/>
      <c r="H1994" s="79"/>
      <c r="I1994" s="80"/>
      <c r="J1994" s="77"/>
      <c r="K1994" s="81" t="b">
        <v>0</v>
      </c>
      <c r="L1994" s="78"/>
      <c r="M1994" s="82"/>
      <c r="N1994" s="78"/>
      <c r="O1994" s="78"/>
      <c r="P1994" s="78"/>
      <c r="Q1994" s="78"/>
      <c r="R1994" s="78"/>
      <c r="S1994" s="78"/>
      <c r="T1994" s="83"/>
    </row>
    <row r="1995" spans="1:20" ht="15" customHeight="1" x14ac:dyDescent="0.3">
      <c r="A1995" s="73"/>
      <c r="B1995" s="74"/>
      <c r="C1995" s="75"/>
      <c r="D1995" s="76"/>
      <c r="E1995" s="77"/>
      <c r="F1995" s="78"/>
      <c r="G1995" s="78"/>
      <c r="H1995" s="79"/>
      <c r="I1995" s="80"/>
      <c r="J1995" s="77"/>
      <c r="K1995" s="81" t="b">
        <v>0</v>
      </c>
      <c r="L1995" s="78"/>
      <c r="M1995" s="82"/>
      <c r="N1995" s="78"/>
      <c r="O1995" s="78"/>
      <c r="P1995" s="78"/>
      <c r="Q1995" s="78"/>
      <c r="R1995" s="78"/>
      <c r="S1995" s="78"/>
      <c r="T1995" s="83"/>
    </row>
    <row r="1996" spans="1:20" ht="15" customHeight="1" x14ac:dyDescent="0.3">
      <c r="A1996" s="73"/>
      <c r="B1996" s="74"/>
      <c r="C1996" s="75"/>
      <c r="D1996" s="76"/>
      <c r="E1996" s="77"/>
      <c r="F1996" s="78"/>
      <c r="G1996" s="78"/>
      <c r="H1996" s="79"/>
      <c r="I1996" s="80"/>
      <c r="J1996" s="77"/>
      <c r="K1996" s="81" t="b">
        <v>0</v>
      </c>
      <c r="L1996" s="78"/>
      <c r="M1996" s="82"/>
      <c r="N1996" s="78"/>
      <c r="O1996" s="78"/>
      <c r="P1996" s="78"/>
      <c r="Q1996" s="78"/>
      <c r="R1996" s="78"/>
      <c r="S1996" s="78"/>
      <c r="T1996" s="83"/>
    </row>
    <row r="1997" spans="1:20" ht="15" customHeight="1" x14ac:dyDescent="0.3">
      <c r="A1997" s="73"/>
      <c r="B1997" s="74"/>
      <c r="C1997" s="75"/>
      <c r="D1997" s="76"/>
      <c r="E1997" s="77"/>
      <c r="F1997" s="78"/>
      <c r="G1997" s="78"/>
      <c r="H1997" s="79"/>
      <c r="I1997" s="80"/>
      <c r="J1997" s="77"/>
      <c r="K1997" s="81" t="b">
        <v>0</v>
      </c>
      <c r="L1997" s="78"/>
      <c r="M1997" s="82"/>
      <c r="N1997" s="78"/>
      <c r="O1997" s="78"/>
      <c r="P1997" s="78"/>
      <c r="Q1997" s="78"/>
      <c r="R1997" s="78"/>
      <c r="S1997" s="78"/>
      <c r="T1997" s="83"/>
    </row>
    <row r="1998" spans="1:20" ht="15" customHeight="1" x14ac:dyDescent="0.3">
      <c r="A1998" s="73"/>
      <c r="B1998" s="74"/>
      <c r="C1998" s="75"/>
      <c r="D1998" s="76"/>
      <c r="E1998" s="77"/>
      <c r="F1998" s="78"/>
      <c r="G1998" s="78"/>
      <c r="H1998" s="79"/>
      <c r="I1998" s="80"/>
      <c r="J1998" s="77"/>
      <c r="K1998" s="81" t="b">
        <v>0</v>
      </c>
      <c r="L1998" s="78"/>
      <c r="M1998" s="82"/>
      <c r="N1998" s="78"/>
      <c r="O1998" s="78"/>
      <c r="P1998" s="78"/>
      <c r="Q1998" s="78"/>
      <c r="R1998" s="78"/>
      <c r="S1998" s="78"/>
      <c r="T1998" s="83"/>
    </row>
    <row r="1999" spans="1:20" ht="15" customHeight="1" x14ac:dyDescent="0.3">
      <c r="A1999" s="73"/>
      <c r="B1999" s="74"/>
      <c r="C1999" s="75"/>
      <c r="D1999" s="76"/>
      <c r="E1999" s="77"/>
      <c r="F1999" s="78"/>
      <c r="G1999" s="78"/>
      <c r="H1999" s="79"/>
      <c r="I1999" s="80"/>
      <c r="J1999" s="77"/>
      <c r="K1999" s="81" t="b">
        <v>0</v>
      </c>
      <c r="L1999" s="78"/>
      <c r="M1999" s="82"/>
      <c r="N1999" s="78"/>
      <c r="O1999" s="78"/>
      <c r="P1999" s="78"/>
      <c r="Q1999" s="78"/>
      <c r="R1999" s="78"/>
      <c r="S1999" s="78"/>
      <c r="T1999" s="83"/>
    </row>
    <row r="2000" spans="1:20" ht="15" customHeight="1" x14ac:dyDescent="0.3">
      <c r="A2000" s="73"/>
      <c r="B2000" s="74"/>
      <c r="C2000" s="75"/>
      <c r="D2000" s="76"/>
      <c r="E2000" s="77"/>
      <c r="F2000" s="78"/>
      <c r="G2000" s="78"/>
      <c r="H2000" s="79"/>
      <c r="I2000" s="80"/>
      <c r="J2000" s="77"/>
      <c r="K2000" s="81" t="b">
        <v>0</v>
      </c>
      <c r="L2000" s="78"/>
      <c r="M2000" s="82"/>
      <c r="N2000" s="78"/>
      <c r="O2000" s="78"/>
      <c r="P2000" s="78"/>
      <c r="Q2000" s="78"/>
      <c r="R2000" s="78"/>
      <c r="S2000" s="78"/>
      <c r="T2000" s="83"/>
    </row>
  </sheetData>
  <sheetProtection algorithmName="SHA-512" hashValue="f+f5tSVKsl6K793PSfdX5b8oX41Syd0Ti+2VwB7tSFBE3mhh25QA4ARmpziBCs6NqCAJwjqdylp/AYld2gVUmg==" saltValue="70cPkU15mWNuuoUqoUgpPQ==" spinCount="100000" sheet="1" objects="1" scenarios="1" autoFilter="0" pivotTables="0"/>
  <conditionalFormatting sqref="C2:E2000">
    <cfRule type="expression" dxfId="8" priority="10">
      <formula>OR(IF($E2="Hela hallen",1))</formula>
    </cfRule>
  </conditionalFormatting>
  <conditionalFormatting sqref="C2:T2000">
    <cfRule type="expression" dxfId="7" priority="11">
      <formula>OR(IF($K2=TRUE,1))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D7BD19-AEDA-4B89-A8DF-31595C44EDFF}">
          <x14:formula1>
            <xm:f>Listor!$A$2:$A$150</xm:f>
          </x14:formula1>
          <xm:sqref>E2:E2000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9A25-ECCF-49F4-8404-899360F26938}">
  <sheetPr codeName="Blad2"/>
  <dimension ref="A1:J54"/>
  <sheetViews>
    <sheetView workbookViewId="0">
      <selection activeCell="C4" sqref="C4"/>
    </sheetView>
  </sheetViews>
  <sheetFormatPr defaultColWidth="8.88671875" defaultRowHeight="14.4" x14ac:dyDescent="0.3"/>
  <cols>
    <col min="1" max="1" width="11.6640625" style="18" customWidth="1"/>
    <col min="2" max="2" width="22.88671875" style="14" customWidth="1"/>
    <col min="3" max="3" width="6" style="10" hidden="1" customWidth="1"/>
    <col min="4" max="4" width="10.33203125" style="1" hidden="1" customWidth="1"/>
    <col min="5" max="10" width="10.6640625" style="1" hidden="1" customWidth="1"/>
    <col min="11" max="16384" width="8.88671875" style="14"/>
  </cols>
  <sheetData>
    <row r="1" spans="1:10" s="16" customFormat="1" ht="37.950000000000003" customHeight="1" x14ac:dyDescent="0.3">
      <c r="A1" s="94">
        <v>2025</v>
      </c>
      <c r="B1" s="94"/>
      <c r="C1" s="10" t="s">
        <v>144</v>
      </c>
      <c r="D1" s="10" t="s">
        <v>137</v>
      </c>
      <c r="E1" s="10" t="s">
        <v>138</v>
      </c>
      <c r="F1" s="10" t="s">
        <v>139</v>
      </c>
      <c r="G1" s="10" t="s">
        <v>140</v>
      </c>
      <c r="H1" s="10" t="s">
        <v>141</v>
      </c>
      <c r="I1" s="10" t="s">
        <v>142</v>
      </c>
      <c r="J1" s="10" t="s">
        <v>143</v>
      </c>
    </row>
    <row r="2" spans="1:10" x14ac:dyDescent="0.3">
      <c r="A2" s="17" t="s">
        <v>18</v>
      </c>
      <c r="B2" s="17" t="s">
        <v>19</v>
      </c>
      <c r="C2" s="10" cm="1">
        <f t="array" ref="C2:C54">_xlfn.SEQUENCE(53,1,1,1)</f>
        <v>1</v>
      </c>
      <c r="D2" s="19">
        <f>DATE(A1, 1, 1) - WEEKDAY(DATE(A1, 1, 1), 2) + 1</f>
        <v>45656</v>
      </c>
      <c r="E2" s="19">
        <f t="shared" ref="E2:J11" si="0">D2+1</f>
        <v>45657</v>
      </c>
      <c r="F2" s="19">
        <f t="shared" si="0"/>
        <v>45658</v>
      </c>
      <c r="G2" s="19">
        <f t="shared" si="0"/>
        <v>45659</v>
      </c>
      <c r="H2" s="19">
        <f t="shared" si="0"/>
        <v>45660</v>
      </c>
      <c r="I2" s="19">
        <f t="shared" si="0"/>
        <v>45661</v>
      </c>
      <c r="J2" s="19">
        <f t="shared" si="0"/>
        <v>45662</v>
      </c>
    </row>
    <row r="3" spans="1:10" x14ac:dyDescent="0.3">
      <c r="A3" s="18">
        <v>45658</v>
      </c>
      <c r="B3" s="14" t="s">
        <v>27</v>
      </c>
      <c r="C3" s="10">
        <v>2</v>
      </c>
      <c r="D3" s="19">
        <f t="shared" ref="D3:D34" si="1">D2+7</f>
        <v>45663</v>
      </c>
      <c r="E3" s="19">
        <f t="shared" si="0"/>
        <v>45664</v>
      </c>
      <c r="F3" s="19">
        <f t="shared" si="0"/>
        <v>45665</v>
      </c>
      <c r="G3" s="19">
        <f t="shared" si="0"/>
        <v>45666</v>
      </c>
      <c r="H3" s="19">
        <f t="shared" si="0"/>
        <v>45667</v>
      </c>
      <c r="I3" s="19">
        <f t="shared" si="0"/>
        <v>45668</v>
      </c>
      <c r="J3" s="19">
        <f t="shared" si="0"/>
        <v>45669</v>
      </c>
    </row>
    <row r="4" spans="1:10" x14ac:dyDescent="0.3">
      <c r="A4" s="18">
        <v>45663</v>
      </c>
      <c r="B4" s="14" t="s">
        <v>32</v>
      </c>
      <c r="C4" s="10">
        <v>3</v>
      </c>
      <c r="D4" s="19">
        <f t="shared" si="1"/>
        <v>45670</v>
      </c>
      <c r="E4" s="19">
        <f t="shared" si="0"/>
        <v>45671</v>
      </c>
      <c r="F4" s="19">
        <f t="shared" si="0"/>
        <v>45672</v>
      </c>
      <c r="G4" s="19">
        <f t="shared" si="0"/>
        <v>45673</v>
      </c>
      <c r="H4" s="19">
        <f t="shared" si="0"/>
        <v>45674</v>
      </c>
      <c r="I4" s="19">
        <f t="shared" si="0"/>
        <v>45675</v>
      </c>
      <c r="J4" s="19">
        <f t="shared" si="0"/>
        <v>45676</v>
      </c>
    </row>
    <row r="5" spans="1:10" x14ac:dyDescent="0.3">
      <c r="A5" s="18">
        <v>45765</v>
      </c>
      <c r="B5" s="14" t="s">
        <v>35</v>
      </c>
      <c r="C5" s="10">
        <v>4</v>
      </c>
      <c r="D5" s="19">
        <f t="shared" si="1"/>
        <v>45677</v>
      </c>
      <c r="E5" s="19">
        <f t="shared" si="0"/>
        <v>45678</v>
      </c>
      <c r="F5" s="19">
        <f t="shared" si="0"/>
        <v>45679</v>
      </c>
      <c r="G5" s="19">
        <f t="shared" si="0"/>
        <v>45680</v>
      </c>
      <c r="H5" s="19">
        <f t="shared" si="0"/>
        <v>45681</v>
      </c>
      <c r="I5" s="19">
        <f t="shared" si="0"/>
        <v>45682</v>
      </c>
      <c r="J5" s="19">
        <f t="shared" si="0"/>
        <v>45683</v>
      </c>
    </row>
    <row r="6" spans="1:10" x14ac:dyDescent="0.3">
      <c r="A6" s="18">
        <v>45767</v>
      </c>
      <c r="B6" s="14" t="s">
        <v>38</v>
      </c>
      <c r="C6" s="10">
        <v>5</v>
      </c>
      <c r="D6" s="19">
        <f t="shared" si="1"/>
        <v>45684</v>
      </c>
      <c r="E6" s="19">
        <f t="shared" si="0"/>
        <v>45685</v>
      </c>
      <c r="F6" s="19">
        <f t="shared" si="0"/>
        <v>45686</v>
      </c>
      <c r="G6" s="19">
        <f t="shared" si="0"/>
        <v>45687</v>
      </c>
      <c r="H6" s="19">
        <f t="shared" si="0"/>
        <v>45688</v>
      </c>
      <c r="I6" s="19">
        <f t="shared" si="0"/>
        <v>45689</v>
      </c>
      <c r="J6" s="19">
        <f t="shared" si="0"/>
        <v>45690</v>
      </c>
    </row>
    <row r="7" spans="1:10" x14ac:dyDescent="0.3">
      <c r="A7" s="18">
        <v>45768</v>
      </c>
      <c r="B7" s="14" t="s">
        <v>42</v>
      </c>
      <c r="C7" s="10">
        <v>6</v>
      </c>
      <c r="D7" s="19">
        <f t="shared" si="1"/>
        <v>45691</v>
      </c>
      <c r="E7" s="19">
        <f t="shared" si="0"/>
        <v>45692</v>
      </c>
      <c r="F7" s="19">
        <f t="shared" si="0"/>
        <v>45693</v>
      </c>
      <c r="G7" s="19">
        <f t="shared" si="0"/>
        <v>45694</v>
      </c>
      <c r="H7" s="19">
        <f t="shared" si="0"/>
        <v>45695</v>
      </c>
      <c r="I7" s="19">
        <f t="shared" si="0"/>
        <v>45696</v>
      </c>
      <c r="J7" s="19">
        <f t="shared" si="0"/>
        <v>45697</v>
      </c>
    </row>
    <row r="8" spans="1:10" x14ac:dyDescent="0.3">
      <c r="A8" s="18">
        <v>45778</v>
      </c>
      <c r="B8" s="14" t="s">
        <v>45</v>
      </c>
      <c r="C8" s="10">
        <v>7</v>
      </c>
      <c r="D8" s="19">
        <f t="shared" si="1"/>
        <v>45698</v>
      </c>
      <c r="E8" s="19">
        <f t="shared" si="0"/>
        <v>45699</v>
      </c>
      <c r="F8" s="19">
        <f t="shared" si="0"/>
        <v>45700</v>
      </c>
      <c r="G8" s="19">
        <f t="shared" si="0"/>
        <v>45701</v>
      </c>
      <c r="H8" s="19">
        <f t="shared" si="0"/>
        <v>45702</v>
      </c>
      <c r="I8" s="19">
        <f t="shared" si="0"/>
        <v>45703</v>
      </c>
      <c r="J8" s="19">
        <f t="shared" si="0"/>
        <v>45704</v>
      </c>
    </row>
    <row r="9" spans="1:10" x14ac:dyDescent="0.3">
      <c r="A9" s="18">
        <v>45806</v>
      </c>
      <c r="B9" s="14" t="s">
        <v>48</v>
      </c>
      <c r="C9" s="10">
        <v>8</v>
      </c>
      <c r="D9" s="19">
        <f t="shared" si="1"/>
        <v>45705</v>
      </c>
      <c r="E9" s="19">
        <f t="shared" si="0"/>
        <v>45706</v>
      </c>
      <c r="F9" s="19">
        <f t="shared" si="0"/>
        <v>45707</v>
      </c>
      <c r="G9" s="19">
        <f t="shared" si="0"/>
        <v>45708</v>
      </c>
      <c r="H9" s="19">
        <f t="shared" si="0"/>
        <v>45709</v>
      </c>
      <c r="I9" s="19">
        <f t="shared" si="0"/>
        <v>45710</v>
      </c>
      <c r="J9" s="19">
        <f t="shared" si="0"/>
        <v>45711</v>
      </c>
    </row>
    <row r="10" spans="1:10" x14ac:dyDescent="0.3">
      <c r="A10" s="18">
        <v>45814</v>
      </c>
      <c r="B10" s="14" t="s">
        <v>51</v>
      </c>
      <c r="C10" s="10">
        <v>9</v>
      </c>
      <c r="D10" s="19">
        <f t="shared" si="1"/>
        <v>45712</v>
      </c>
      <c r="E10" s="19">
        <f t="shared" si="0"/>
        <v>45713</v>
      </c>
      <c r="F10" s="19">
        <f t="shared" si="0"/>
        <v>45714</v>
      </c>
      <c r="G10" s="19">
        <f t="shared" si="0"/>
        <v>45715</v>
      </c>
      <c r="H10" s="19">
        <f t="shared" si="0"/>
        <v>45716</v>
      </c>
      <c r="I10" s="19">
        <f t="shared" si="0"/>
        <v>45717</v>
      </c>
      <c r="J10" s="19">
        <f t="shared" si="0"/>
        <v>45718</v>
      </c>
    </row>
    <row r="11" spans="1:10" x14ac:dyDescent="0.3">
      <c r="A11" s="18">
        <v>45816</v>
      </c>
      <c r="B11" s="14" t="s">
        <v>55</v>
      </c>
      <c r="C11" s="10">
        <v>10</v>
      </c>
      <c r="D11" s="19">
        <f t="shared" si="1"/>
        <v>45719</v>
      </c>
      <c r="E11" s="19">
        <f t="shared" si="0"/>
        <v>45720</v>
      </c>
      <c r="F11" s="19">
        <f t="shared" si="0"/>
        <v>45721</v>
      </c>
      <c r="G11" s="19">
        <f t="shared" si="0"/>
        <v>45722</v>
      </c>
      <c r="H11" s="19">
        <f t="shared" si="0"/>
        <v>45723</v>
      </c>
      <c r="I11" s="19">
        <f t="shared" si="0"/>
        <v>45724</v>
      </c>
      <c r="J11" s="19">
        <f t="shared" si="0"/>
        <v>45725</v>
      </c>
    </row>
    <row r="12" spans="1:10" x14ac:dyDescent="0.3">
      <c r="A12" s="18">
        <v>45829</v>
      </c>
      <c r="B12" s="14" t="s">
        <v>58</v>
      </c>
      <c r="C12" s="10">
        <v>11</v>
      </c>
      <c r="D12" s="19">
        <f t="shared" si="1"/>
        <v>45726</v>
      </c>
      <c r="E12" s="19">
        <f t="shared" ref="E12:J21" si="2">D12+1</f>
        <v>45727</v>
      </c>
      <c r="F12" s="19">
        <f t="shared" si="2"/>
        <v>45728</v>
      </c>
      <c r="G12" s="19">
        <f t="shared" si="2"/>
        <v>45729</v>
      </c>
      <c r="H12" s="19">
        <f t="shared" si="2"/>
        <v>45730</v>
      </c>
      <c r="I12" s="19">
        <f t="shared" si="2"/>
        <v>45731</v>
      </c>
      <c r="J12" s="19">
        <f t="shared" si="2"/>
        <v>45732</v>
      </c>
    </row>
    <row r="13" spans="1:10" x14ac:dyDescent="0.3">
      <c r="A13" s="18">
        <v>45962</v>
      </c>
      <c r="B13" s="14" t="s">
        <v>61</v>
      </c>
      <c r="C13" s="10">
        <v>12</v>
      </c>
      <c r="D13" s="19">
        <f t="shared" si="1"/>
        <v>45733</v>
      </c>
      <c r="E13" s="19">
        <f t="shared" si="2"/>
        <v>45734</v>
      </c>
      <c r="F13" s="19">
        <f t="shared" si="2"/>
        <v>45735</v>
      </c>
      <c r="G13" s="19">
        <f t="shared" si="2"/>
        <v>45736</v>
      </c>
      <c r="H13" s="19">
        <f t="shared" si="2"/>
        <v>45737</v>
      </c>
      <c r="I13" s="19">
        <f t="shared" si="2"/>
        <v>45738</v>
      </c>
      <c r="J13" s="19">
        <f t="shared" si="2"/>
        <v>45739</v>
      </c>
    </row>
    <row r="14" spans="1:10" x14ac:dyDescent="0.3">
      <c r="A14" s="18">
        <v>46016</v>
      </c>
      <c r="B14" s="14" t="s">
        <v>64</v>
      </c>
      <c r="C14" s="10">
        <v>13</v>
      </c>
      <c r="D14" s="19">
        <f t="shared" si="1"/>
        <v>45740</v>
      </c>
      <c r="E14" s="19">
        <f t="shared" si="2"/>
        <v>45741</v>
      </c>
      <c r="F14" s="19">
        <f t="shared" si="2"/>
        <v>45742</v>
      </c>
      <c r="G14" s="19">
        <f t="shared" si="2"/>
        <v>45743</v>
      </c>
      <c r="H14" s="19">
        <f t="shared" si="2"/>
        <v>45744</v>
      </c>
      <c r="I14" s="19">
        <f t="shared" si="2"/>
        <v>45745</v>
      </c>
      <c r="J14" s="19">
        <f t="shared" si="2"/>
        <v>45746</v>
      </c>
    </row>
    <row r="15" spans="1:10" x14ac:dyDescent="0.3">
      <c r="A15" s="18">
        <v>46017</v>
      </c>
      <c r="B15" s="14" t="s">
        <v>67</v>
      </c>
      <c r="C15" s="10">
        <v>14</v>
      </c>
      <c r="D15" s="19">
        <f t="shared" si="1"/>
        <v>45747</v>
      </c>
      <c r="E15" s="19">
        <f t="shared" si="2"/>
        <v>45748</v>
      </c>
      <c r="F15" s="19">
        <f t="shared" si="2"/>
        <v>45749</v>
      </c>
      <c r="G15" s="19">
        <f t="shared" si="2"/>
        <v>45750</v>
      </c>
      <c r="H15" s="19">
        <f t="shared" si="2"/>
        <v>45751</v>
      </c>
      <c r="I15" s="19">
        <f t="shared" si="2"/>
        <v>45752</v>
      </c>
      <c r="J15" s="19">
        <f t="shared" si="2"/>
        <v>45753</v>
      </c>
    </row>
    <row r="16" spans="1:10" x14ac:dyDescent="0.3">
      <c r="A16" s="18">
        <v>45828</v>
      </c>
      <c r="B16" s="14" t="s">
        <v>70</v>
      </c>
      <c r="C16" s="10">
        <v>15</v>
      </c>
      <c r="D16" s="19">
        <f t="shared" si="1"/>
        <v>45754</v>
      </c>
      <c r="E16" s="19">
        <f t="shared" si="2"/>
        <v>45755</v>
      </c>
      <c r="F16" s="19">
        <f t="shared" si="2"/>
        <v>45756</v>
      </c>
      <c r="G16" s="19">
        <f t="shared" si="2"/>
        <v>45757</v>
      </c>
      <c r="H16" s="19">
        <f t="shared" si="2"/>
        <v>45758</v>
      </c>
      <c r="I16" s="19">
        <f t="shared" si="2"/>
        <v>45759</v>
      </c>
      <c r="J16" s="19">
        <f t="shared" si="2"/>
        <v>45760</v>
      </c>
    </row>
    <row r="17" spans="1:10" x14ac:dyDescent="0.3">
      <c r="A17" s="18">
        <v>46015</v>
      </c>
      <c r="B17" s="14" t="s">
        <v>73</v>
      </c>
      <c r="C17" s="10">
        <v>16</v>
      </c>
      <c r="D17" s="19">
        <f t="shared" si="1"/>
        <v>45761</v>
      </c>
      <c r="E17" s="19">
        <f t="shared" si="2"/>
        <v>45762</v>
      </c>
      <c r="F17" s="19">
        <f t="shared" si="2"/>
        <v>45763</v>
      </c>
      <c r="G17" s="19">
        <f t="shared" si="2"/>
        <v>45764</v>
      </c>
      <c r="H17" s="19">
        <f t="shared" si="2"/>
        <v>45765</v>
      </c>
      <c r="I17" s="19">
        <f t="shared" si="2"/>
        <v>45766</v>
      </c>
      <c r="J17" s="19">
        <f t="shared" si="2"/>
        <v>45767</v>
      </c>
    </row>
    <row r="18" spans="1:10" x14ac:dyDescent="0.3">
      <c r="C18" s="10">
        <v>17</v>
      </c>
      <c r="D18" s="19">
        <f t="shared" si="1"/>
        <v>45768</v>
      </c>
      <c r="E18" s="19">
        <f t="shared" si="2"/>
        <v>45769</v>
      </c>
      <c r="F18" s="19">
        <f t="shared" si="2"/>
        <v>45770</v>
      </c>
      <c r="G18" s="19">
        <f t="shared" si="2"/>
        <v>45771</v>
      </c>
      <c r="H18" s="19">
        <f t="shared" si="2"/>
        <v>45772</v>
      </c>
      <c r="I18" s="19">
        <f t="shared" si="2"/>
        <v>45773</v>
      </c>
      <c r="J18" s="19">
        <f t="shared" si="2"/>
        <v>45774</v>
      </c>
    </row>
    <row r="19" spans="1:10" x14ac:dyDescent="0.3">
      <c r="C19" s="10">
        <v>18</v>
      </c>
      <c r="D19" s="19">
        <f t="shared" si="1"/>
        <v>45775</v>
      </c>
      <c r="E19" s="19">
        <f t="shared" si="2"/>
        <v>45776</v>
      </c>
      <c r="F19" s="19">
        <f t="shared" si="2"/>
        <v>45777</v>
      </c>
      <c r="G19" s="19">
        <f t="shared" si="2"/>
        <v>45778</v>
      </c>
      <c r="H19" s="19">
        <f t="shared" si="2"/>
        <v>45779</v>
      </c>
      <c r="I19" s="19">
        <f t="shared" si="2"/>
        <v>45780</v>
      </c>
      <c r="J19" s="19">
        <f t="shared" si="2"/>
        <v>45781</v>
      </c>
    </row>
    <row r="20" spans="1:10" x14ac:dyDescent="0.3">
      <c r="C20" s="10">
        <v>19</v>
      </c>
      <c r="D20" s="19">
        <f t="shared" si="1"/>
        <v>45782</v>
      </c>
      <c r="E20" s="19">
        <f t="shared" si="2"/>
        <v>45783</v>
      </c>
      <c r="F20" s="19">
        <f t="shared" si="2"/>
        <v>45784</v>
      </c>
      <c r="G20" s="19">
        <f t="shared" si="2"/>
        <v>45785</v>
      </c>
      <c r="H20" s="19">
        <f t="shared" si="2"/>
        <v>45786</v>
      </c>
      <c r="I20" s="19">
        <f t="shared" si="2"/>
        <v>45787</v>
      </c>
      <c r="J20" s="19">
        <f t="shared" si="2"/>
        <v>45788</v>
      </c>
    </row>
    <row r="21" spans="1:10" x14ac:dyDescent="0.3">
      <c r="C21" s="10">
        <v>20</v>
      </c>
      <c r="D21" s="19">
        <f t="shared" si="1"/>
        <v>45789</v>
      </c>
      <c r="E21" s="19">
        <f t="shared" si="2"/>
        <v>45790</v>
      </c>
      <c r="F21" s="19">
        <f t="shared" si="2"/>
        <v>45791</v>
      </c>
      <c r="G21" s="19">
        <f t="shared" si="2"/>
        <v>45792</v>
      </c>
      <c r="H21" s="19">
        <f t="shared" si="2"/>
        <v>45793</v>
      </c>
      <c r="I21" s="19">
        <f t="shared" si="2"/>
        <v>45794</v>
      </c>
      <c r="J21" s="19">
        <f t="shared" si="2"/>
        <v>45795</v>
      </c>
    </row>
    <row r="22" spans="1:10" x14ac:dyDescent="0.3">
      <c r="C22" s="10">
        <v>21</v>
      </c>
      <c r="D22" s="19">
        <f t="shared" si="1"/>
        <v>45796</v>
      </c>
      <c r="E22" s="19">
        <f t="shared" ref="E22:J31" si="3">D22+1</f>
        <v>45797</v>
      </c>
      <c r="F22" s="19">
        <f t="shared" si="3"/>
        <v>45798</v>
      </c>
      <c r="G22" s="19">
        <f t="shared" si="3"/>
        <v>45799</v>
      </c>
      <c r="H22" s="19">
        <f t="shared" si="3"/>
        <v>45800</v>
      </c>
      <c r="I22" s="19">
        <f t="shared" si="3"/>
        <v>45801</v>
      </c>
      <c r="J22" s="19">
        <f t="shared" si="3"/>
        <v>45802</v>
      </c>
    </row>
    <row r="23" spans="1:10" x14ac:dyDescent="0.3">
      <c r="C23" s="10">
        <v>22</v>
      </c>
      <c r="D23" s="19">
        <f t="shared" si="1"/>
        <v>45803</v>
      </c>
      <c r="E23" s="19">
        <f t="shared" si="3"/>
        <v>45804</v>
      </c>
      <c r="F23" s="19">
        <f t="shared" si="3"/>
        <v>45805</v>
      </c>
      <c r="G23" s="19">
        <f t="shared" si="3"/>
        <v>45806</v>
      </c>
      <c r="H23" s="19">
        <f t="shared" si="3"/>
        <v>45807</v>
      </c>
      <c r="I23" s="19">
        <f t="shared" si="3"/>
        <v>45808</v>
      </c>
      <c r="J23" s="19">
        <f t="shared" si="3"/>
        <v>45809</v>
      </c>
    </row>
    <row r="24" spans="1:10" x14ac:dyDescent="0.3">
      <c r="C24" s="10">
        <v>23</v>
      </c>
      <c r="D24" s="19">
        <f t="shared" si="1"/>
        <v>45810</v>
      </c>
      <c r="E24" s="19">
        <f t="shared" si="3"/>
        <v>45811</v>
      </c>
      <c r="F24" s="19">
        <f t="shared" si="3"/>
        <v>45812</v>
      </c>
      <c r="G24" s="19">
        <f t="shared" si="3"/>
        <v>45813</v>
      </c>
      <c r="H24" s="19">
        <f t="shared" si="3"/>
        <v>45814</v>
      </c>
      <c r="I24" s="19">
        <f t="shared" si="3"/>
        <v>45815</v>
      </c>
      <c r="J24" s="19">
        <f t="shared" si="3"/>
        <v>45816</v>
      </c>
    </row>
    <row r="25" spans="1:10" x14ac:dyDescent="0.3">
      <c r="C25" s="10">
        <v>24</v>
      </c>
      <c r="D25" s="19">
        <f t="shared" si="1"/>
        <v>45817</v>
      </c>
      <c r="E25" s="19">
        <f t="shared" si="3"/>
        <v>45818</v>
      </c>
      <c r="F25" s="19">
        <f t="shared" si="3"/>
        <v>45819</v>
      </c>
      <c r="G25" s="19">
        <f t="shared" si="3"/>
        <v>45820</v>
      </c>
      <c r="H25" s="19">
        <f t="shared" si="3"/>
        <v>45821</v>
      </c>
      <c r="I25" s="19">
        <f t="shared" si="3"/>
        <v>45822</v>
      </c>
      <c r="J25" s="19">
        <f t="shared" si="3"/>
        <v>45823</v>
      </c>
    </row>
    <row r="26" spans="1:10" x14ac:dyDescent="0.3">
      <c r="C26" s="10">
        <v>25</v>
      </c>
      <c r="D26" s="19">
        <f t="shared" si="1"/>
        <v>45824</v>
      </c>
      <c r="E26" s="19">
        <f t="shared" si="3"/>
        <v>45825</v>
      </c>
      <c r="F26" s="19">
        <f t="shared" si="3"/>
        <v>45826</v>
      </c>
      <c r="G26" s="19">
        <f t="shared" si="3"/>
        <v>45827</v>
      </c>
      <c r="H26" s="19">
        <f t="shared" si="3"/>
        <v>45828</v>
      </c>
      <c r="I26" s="19">
        <f t="shared" si="3"/>
        <v>45829</v>
      </c>
      <c r="J26" s="19">
        <f t="shared" si="3"/>
        <v>45830</v>
      </c>
    </row>
    <row r="27" spans="1:10" x14ac:dyDescent="0.3">
      <c r="C27" s="10">
        <v>26</v>
      </c>
      <c r="D27" s="19">
        <f t="shared" si="1"/>
        <v>45831</v>
      </c>
      <c r="E27" s="19">
        <f t="shared" si="3"/>
        <v>45832</v>
      </c>
      <c r="F27" s="19">
        <f t="shared" si="3"/>
        <v>45833</v>
      </c>
      <c r="G27" s="19">
        <f t="shared" si="3"/>
        <v>45834</v>
      </c>
      <c r="H27" s="19">
        <f t="shared" si="3"/>
        <v>45835</v>
      </c>
      <c r="I27" s="19">
        <f t="shared" si="3"/>
        <v>45836</v>
      </c>
      <c r="J27" s="19">
        <f t="shared" si="3"/>
        <v>45837</v>
      </c>
    </row>
    <row r="28" spans="1:10" x14ac:dyDescent="0.3">
      <c r="C28" s="10">
        <v>27</v>
      </c>
      <c r="D28" s="19">
        <f t="shared" si="1"/>
        <v>45838</v>
      </c>
      <c r="E28" s="19">
        <f t="shared" si="3"/>
        <v>45839</v>
      </c>
      <c r="F28" s="19">
        <f t="shared" si="3"/>
        <v>45840</v>
      </c>
      <c r="G28" s="19">
        <f t="shared" si="3"/>
        <v>45841</v>
      </c>
      <c r="H28" s="19">
        <f t="shared" si="3"/>
        <v>45842</v>
      </c>
      <c r="I28" s="19">
        <f t="shared" si="3"/>
        <v>45843</v>
      </c>
      <c r="J28" s="19">
        <f t="shared" si="3"/>
        <v>45844</v>
      </c>
    </row>
    <row r="29" spans="1:10" x14ac:dyDescent="0.3">
      <c r="C29" s="10">
        <v>28</v>
      </c>
      <c r="D29" s="19">
        <f t="shared" si="1"/>
        <v>45845</v>
      </c>
      <c r="E29" s="19">
        <f t="shared" si="3"/>
        <v>45846</v>
      </c>
      <c r="F29" s="19">
        <f t="shared" si="3"/>
        <v>45847</v>
      </c>
      <c r="G29" s="19">
        <f t="shared" si="3"/>
        <v>45848</v>
      </c>
      <c r="H29" s="19">
        <f t="shared" si="3"/>
        <v>45849</v>
      </c>
      <c r="I29" s="19">
        <f t="shared" si="3"/>
        <v>45850</v>
      </c>
      <c r="J29" s="19">
        <f t="shared" si="3"/>
        <v>45851</v>
      </c>
    </row>
    <row r="30" spans="1:10" x14ac:dyDescent="0.3">
      <c r="C30" s="10">
        <v>29</v>
      </c>
      <c r="D30" s="19">
        <f t="shared" si="1"/>
        <v>45852</v>
      </c>
      <c r="E30" s="19">
        <f t="shared" si="3"/>
        <v>45853</v>
      </c>
      <c r="F30" s="19">
        <f t="shared" si="3"/>
        <v>45854</v>
      </c>
      <c r="G30" s="19">
        <f t="shared" si="3"/>
        <v>45855</v>
      </c>
      <c r="H30" s="19">
        <f t="shared" si="3"/>
        <v>45856</v>
      </c>
      <c r="I30" s="19">
        <f t="shared" si="3"/>
        <v>45857</v>
      </c>
      <c r="J30" s="19">
        <f t="shared" si="3"/>
        <v>45858</v>
      </c>
    </row>
    <row r="31" spans="1:10" x14ac:dyDescent="0.3">
      <c r="C31" s="10">
        <v>30</v>
      </c>
      <c r="D31" s="19">
        <f t="shared" si="1"/>
        <v>45859</v>
      </c>
      <c r="E31" s="19">
        <f t="shared" si="3"/>
        <v>45860</v>
      </c>
      <c r="F31" s="19">
        <f t="shared" si="3"/>
        <v>45861</v>
      </c>
      <c r="G31" s="19">
        <f t="shared" si="3"/>
        <v>45862</v>
      </c>
      <c r="H31" s="19">
        <f t="shared" si="3"/>
        <v>45863</v>
      </c>
      <c r="I31" s="19">
        <f t="shared" si="3"/>
        <v>45864</v>
      </c>
      <c r="J31" s="19">
        <f t="shared" si="3"/>
        <v>45865</v>
      </c>
    </row>
    <row r="32" spans="1:10" x14ac:dyDescent="0.3">
      <c r="C32" s="10">
        <v>31</v>
      </c>
      <c r="D32" s="19">
        <f t="shared" si="1"/>
        <v>45866</v>
      </c>
      <c r="E32" s="19">
        <f t="shared" ref="E32:J41" si="4">D32+1</f>
        <v>45867</v>
      </c>
      <c r="F32" s="19">
        <f t="shared" si="4"/>
        <v>45868</v>
      </c>
      <c r="G32" s="19">
        <f t="shared" si="4"/>
        <v>45869</v>
      </c>
      <c r="H32" s="19">
        <f t="shared" si="4"/>
        <v>45870</v>
      </c>
      <c r="I32" s="19">
        <f t="shared" si="4"/>
        <v>45871</v>
      </c>
      <c r="J32" s="19">
        <f t="shared" si="4"/>
        <v>45872</v>
      </c>
    </row>
    <row r="33" spans="3:10" x14ac:dyDescent="0.3">
      <c r="C33" s="10">
        <v>32</v>
      </c>
      <c r="D33" s="19">
        <f t="shared" si="1"/>
        <v>45873</v>
      </c>
      <c r="E33" s="19">
        <f t="shared" si="4"/>
        <v>45874</v>
      </c>
      <c r="F33" s="19">
        <f t="shared" si="4"/>
        <v>45875</v>
      </c>
      <c r="G33" s="19">
        <f t="shared" si="4"/>
        <v>45876</v>
      </c>
      <c r="H33" s="19">
        <f t="shared" si="4"/>
        <v>45877</v>
      </c>
      <c r="I33" s="19">
        <f t="shared" si="4"/>
        <v>45878</v>
      </c>
      <c r="J33" s="19">
        <f t="shared" si="4"/>
        <v>45879</v>
      </c>
    </row>
    <row r="34" spans="3:10" x14ac:dyDescent="0.3">
      <c r="C34" s="10">
        <v>33</v>
      </c>
      <c r="D34" s="19">
        <f t="shared" si="1"/>
        <v>45880</v>
      </c>
      <c r="E34" s="19">
        <f t="shared" si="4"/>
        <v>45881</v>
      </c>
      <c r="F34" s="19">
        <f t="shared" si="4"/>
        <v>45882</v>
      </c>
      <c r="G34" s="19">
        <f t="shared" si="4"/>
        <v>45883</v>
      </c>
      <c r="H34" s="19">
        <f t="shared" si="4"/>
        <v>45884</v>
      </c>
      <c r="I34" s="19">
        <f t="shared" si="4"/>
        <v>45885</v>
      </c>
      <c r="J34" s="19">
        <f t="shared" si="4"/>
        <v>45886</v>
      </c>
    </row>
    <row r="35" spans="3:10" x14ac:dyDescent="0.3">
      <c r="C35" s="10">
        <v>34</v>
      </c>
      <c r="D35" s="19">
        <f t="shared" ref="D35:D54" si="5">D34+7</f>
        <v>45887</v>
      </c>
      <c r="E35" s="19">
        <f t="shared" si="4"/>
        <v>45888</v>
      </c>
      <c r="F35" s="19">
        <f t="shared" si="4"/>
        <v>45889</v>
      </c>
      <c r="G35" s="19">
        <f t="shared" si="4"/>
        <v>45890</v>
      </c>
      <c r="H35" s="19">
        <f t="shared" si="4"/>
        <v>45891</v>
      </c>
      <c r="I35" s="19">
        <f t="shared" si="4"/>
        <v>45892</v>
      </c>
      <c r="J35" s="19">
        <f t="shared" si="4"/>
        <v>45893</v>
      </c>
    </row>
    <row r="36" spans="3:10" x14ac:dyDescent="0.3">
      <c r="C36" s="10">
        <v>35</v>
      </c>
      <c r="D36" s="19">
        <f t="shared" si="5"/>
        <v>45894</v>
      </c>
      <c r="E36" s="19">
        <f t="shared" si="4"/>
        <v>45895</v>
      </c>
      <c r="F36" s="19">
        <f t="shared" si="4"/>
        <v>45896</v>
      </c>
      <c r="G36" s="19">
        <f t="shared" si="4"/>
        <v>45897</v>
      </c>
      <c r="H36" s="19">
        <f t="shared" si="4"/>
        <v>45898</v>
      </c>
      <c r="I36" s="19">
        <f t="shared" si="4"/>
        <v>45899</v>
      </c>
      <c r="J36" s="19">
        <f t="shared" si="4"/>
        <v>45900</v>
      </c>
    </row>
    <row r="37" spans="3:10" x14ac:dyDescent="0.3">
      <c r="C37" s="10">
        <v>36</v>
      </c>
      <c r="D37" s="19">
        <f t="shared" si="5"/>
        <v>45901</v>
      </c>
      <c r="E37" s="19">
        <f t="shared" si="4"/>
        <v>45902</v>
      </c>
      <c r="F37" s="19">
        <f t="shared" si="4"/>
        <v>45903</v>
      </c>
      <c r="G37" s="19">
        <f t="shared" si="4"/>
        <v>45904</v>
      </c>
      <c r="H37" s="19">
        <f t="shared" si="4"/>
        <v>45905</v>
      </c>
      <c r="I37" s="19">
        <f t="shared" si="4"/>
        <v>45906</v>
      </c>
      <c r="J37" s="19">
        <f t="shared" si="4"/>
        <v>45907</v>
      </c>
    </row>
    <row r="38" spans="3:10" x14ac:dyDescent="0.3">
      <c r="C38" s="10">
        <v>37</v>
      </c>
      <c r="D38" s="19">
        <f t="shared" si="5"/>
        <v>45908</v>
      </c>
      <c r="E38" s="19">
        <f t="shared" si="4"/>
        <v>45909</v>
      </c>
      <c r="F38" s="19">
        <f t="shared" si="4"/>
        <v>45910</v>
      </c>
      <c r="G38" s="19">
        <f t="shared" si="4"/>
        <v>45911</v>
      </c>
      <c r="H38" s="19">
        <f t="shared" si="4"/>
        <v>45912</v>
      </c>
      <c r="I38" s="19">
        <f t="shared" si="4"/>
        <v>45913</v>
      </c>
      <c r="J38" s="19">
        <f t="shared" si="4"/>
        <v>45914</v>
      </c>
    </row>
    <row r="39" spans="3:10" x14ac:dyDescent="0.3">
      <c r="C39" s="10">
        <v>38</v>
      </c>
      <c r="D39" s="19">
        <f t="shared" si="5"/>
        <v>45915</v>
      </c>
      <c r="E39" s="19">
        <f t="shared" si="4"/>
        <v>45916</v>
      </c>
      <c r="F39" s="19">
        <f t="shared" si="4"/>
        <v>45917</v>
      </c>
      <c r="G39" s="19">
        <f t="shared" si="4"/>
        <v>45918</v>
      </c>
      <c r="H39" s="19">
        <f t="shared" si="4"/>
        <v>45919</v>
      </c>
      <c r="I39" s="19">
        <f t="shared" si="4"/>
        <v>45920</v>
      </c>
      <c r="J39" s="19">
        <f t="shared" si="4"/>
        <v>45921</v>
      </c>
    </row>
    <row r="40" spans="3:10" x14ac:dyDescent="0.3">
      <c r="C40" s="10">
        <v>39</v>
      </c>
      <c r="D40" s="19">
        <f t="shared" si="5"/>
        <v>45922</v>
      </c>
      <c r="E40" s="19">
        <f t="shared" si="4"/>
        <v>45923</v>
      </c>
      <c r="F40" s="19">
        <f t="shared" si="4"/>
        <v>45924</v>
      </c>
      <c r="G40" s="19">
        <f t="shared" si="4"/>
        <v>45925</v>
      </c>
      <c r="H40" s="19">
        <f t="shared" si="4"/>
        <v>45926</v>
      </c>
      <c r="I40" s="19">
        <f t="shared" si="4"/>
        <v>45927</v>
      </c>
      <c r="J40" s="19">
        <f t="shared" si="4"/>
        <v>45928</v>
      </c>
    </row>
    <row r="41" spans="3:10" x14ac:dyDescent="0.3">
      <c r="C41" s="10">
        <v>40</v>
      </c>
      <c r="D41" s="19">
        <f t="shared" si="5"/>
        <v>45929</v>
      </c>
      <c r="E41" s="19">
        <f t="shared" si="4"/>
        <v>45930</v>
      </c>
      <c r="F41" s="19">
        <f t="shared" si="4"/>
        <v>45931</v>
      </c>
      <c r="G41" s="19">
        <f t="shared" si="4"/>
        <v>45932</v>
      </c>
      <c r="H41" s="19">
        <f t="shared" si="4"/>
        <v>45933</v>
      </c>
      <c r="I41" s="19">
        <f t="shared" si="4"/>
        <v>45934</v>
      </c>
      <c r="J41" s="19">
        <f t="shared" si="4"/>
        <v>45935</v>
      </c>
    </row>
    <row r="42" spans="3:10" x14ac:dyDescent="0.3">
      <c r="C42" s="10">
        <v>41</v>
      </c>
      <c r="D42" s="19">
        <f t="shared" si="5"/>
        <v>45936</v>
      </c>
      <c r="E42" s="19">
        <f t="shared" ref="E42:J51" si="6">D42+1</f>
        <v>45937</v>
      </c>
      <c r="F42" s="19">
        <f t="shared" si="6"/>
        <v>45938</v>
      </c>
      <c r="G42" s="19">
        <f t="shared" si="6"/>
        <v>45939</v>
      </c>
      <c r="H42" s="19">
        <f t="shared" si="6"/>
        <v>45940</v>
      </c>
      <c r="I42" s="19">
        <f t="shared" si="6"/>
        <v>45941</v>
      </c>
      <c r="J42" s="19">
        <f t="shared" si="6"/>
        <v>45942</v>
      </c>
    </row>
    <row r="43" spans="3:10" x14ac:dyDescent="0.3">
      <c r="C43" s="10">
        <v>42</v>
      </c>
      <c r="D43" s="19">
        <f t="shared" si="5"/>
        <v>45943</v>
      </c>
      <c r="E43" s="19">
        <f t="shared" si="6"/>
        <v>45944</v>
      </c>
      <c r="F43" s="19">
        <f t="shared" si="6"/>
        <v>45945</v>
      </c>
      <c r="G43" s="19">
        <f t="shared" si="6"/>
        <v>45946</v>
      </c>
      <c r="H43" s="19">
        <f t="shared" si="6"/>
        <v>45947</v>
      </c>
      <c r="I43" s="19">
        <f t="shared" si="6"/>
        <v>45948</v>
      </c>
      <c r="J43" s="19">
        <f t="shared" si="6"/>
        <v>45949</v>
      </c>
    </row>
    <row r="44" spans="3:10" x14ac:dyDescent="0.3">
      <c r="C44" s="10">
        <v>43</v>
      </c>
      <c r="D44" s="19">
        <f t="shared" si="5"/>
        <v>45950</v>
      </c>
      <c r="E44" s="19">
        <f t="shared" si="6"/>
        <v>45951</v>
      </c>
      <c r="F44" s="19">
        <f t="shared" si="6"/>
        <v>45952</v>
      </c>
      <c r="G44" s="19">
        <f t="shared" si="6"/>
        <v>45953</v>
      </c>
      <c r="H44" s="19">
        <f t="shared" si="6"/>
        <v>45954</v>
      </c>
      <c r="I44" s="19">
        <f t="shared" si="6"/>
        <v>45955</v>
      </c>
      <c r="J44" s="19">
        <f t="shared" si="6"/>
        <v>45956</v>
      </c>
    </row>
    <row r="45" spans="3:10" x14ac:dyDescent="0.3">
      <c r="C45" s="10">
        <v>44</v>
      </c>
      <c r="D45" s="19">
        <f t="shared" si="5"/>
        <v>45957</v>
      </c>
      <c r="E45" s="19">
        <f t="shared" si="6"/>
        <v>45958</v>
      </c>
      <c r="F45" s="19">
        <f t="shared" si="6"/>
        <v>45959</v>
      </c>
      <c r="G45" s="19">
        <f t="shared" si="6"/>
        <v>45960</v>
      </c>
      <c r="H45" s="19">
        <f t="shared" si="6"/>
        <v>45961</v>
      </c>
      <c r="I45" s="19">
        <f t="shared" si="6"/>
        <v>45962</v>
      </c>
      <c r="J45" s="19">
        <f t="shared" si="6"/>
        <v>45963</v>
      </c>
    </row>
    <row r="46" spans="3:10" x14ac:dyDescent="0.3">
      <c r="C46" s="10">
        <v>45</v>
      </c>
      <c r="D46" s="19">
        <f t="shared" si="5"/>
        <v>45964</v>
      </c>
      <c r="E46" s="19">
        <f t="shared" si="6"/>
        <v>45965</v>
      </c>
      <c r="F46" s="19">
        <f t="shared" si="6"/>
        <v>45966</v>
      </c>
      <c r="G46" s="19">
        <f t="shared" si="6"/>
        <v>45967</v>
      </c>
      <c r="H46" s="19">
        <f t="shared" si="6"/>
        <v>45968</v>
      </c>
      <c r="I46" s="19">
        <f t="shared" si="6"/>
        <v>45969</v>
      </c>
      <c r="J46" s="19">
        <f t="shared" si="6"/>
        <v>45970</v>
      </c>
    </row>
    <row r="47" spans="3:10" x14ac:dyDescent="0.3">
      <c r="C47" s="10">
        <v>46</v>
      </c>
      <c r="D47" s="19">
        <f t="shared" si="5"/>
        <v>45971</v>
      </c>
      <c r="E47" s="19">
        <f t="shared" si="6"/>
        <v>45972</v>
      </c>
      <c r="F47" s="19">
        <f t="shared" si="6"/>
        <v>45973</v>
      </c>
      <c r="G47" s="19">
        <f t="shared" si="6"/>
        <v>45974</v>
      </c>
      <c r="H47" s="19">
        <f t="shared" si="6"/>
        <v>45975</v>
      </c>
      <c r="I47" s="19">
        <f t="shared" si="6"/>
        <v>45976</v>
      </c>
      <c r="J47" s="19">
        <f t="shared" si="6"/>
        <v>45977</v>
      </c>
    </row>
    <row r="48" spans="3:10" x14ac:dyDescent="0.3">
      <c r="C48" s="10">
        <v>47</v>
      </c>
      <c r="D48" s="19">
        <f t="shared" si="5"/>
        <v>45978</v>
      </c>
      <c r="E48" s="19">
        <f t="shared" si="6"/>
        <v>45979</v>
      </c>
      <c r="F48" s="19">
        <f t="shared" si="6"/>
        <v>45980</v>
      </c>
      <c r="G48" s="19">
        <f t="shared" si="6"/>
        <v>45981</v>
      </c>
      <c r="H48" s="19">
        <f t="shared" si="6"/>
        <v>45982</v>
      </c>
      <c r="I48" s="19">
        <f t="shared" si="6"/>
        <v>45983</v>
      </c>
      <c r="J48" s="19">
        <f t="shared" si="6"/>
        <v>45984</v>
      </c>
    </row>
    <row r="49" spans="3:10" x14ac:dyDescent="0.3">
      <c r="C49" s="10">
        <v>48</v>
      </c>
      <c r="D49" s="19">
        <f t="shared" si="5"/>
        <v>45985</v>
      </c>
      <c r="E49" s="19">
        <f t="shared" si="6"/>
        <v>45986</v>
      </c>
      <c r="F49" s="19">
        <f t="shared" si="6"/>
        <v>45987</v>
      </c>
      <c r="G49" s="19">
        <f t="shared" si="6"/>
        <v>45988</v>
      </c>
      <c r="H49" s="19">
        <f t="shared" si="6"/>
        <v>45989</v>
      </c>
      <c r="I49" s="19">
        <f t="shared" si="6"/>
        <v>45990</v>
      </c>
      <c r="J49" s="19">
        <f t="shared" si="6"/>
        <v>45991</v>
      </c>
    </row>
    <row r="50" spans="3:10" x14ac:dyDescent="0.3">
      <c r="C50" s="10">
        <v>49</v>
      </c>
      <c r="D50" s="19">
        <f t="shared" si="5"/>
        <v>45992</v>
      </c>
      <c r="E50" s="19">
        <f t="shared" si="6"/>
        <v>45993</v>
      </c>
      <c r="F50" s="19">
        <f t="shared" si="6"/>
        <v>45994</v>
      </c>
      <c r="G50" s="19">
        <f t="shared" si="6"/>
        <v>45995</v>
      </c>
      <c r="H50" s="19">
        <f t="shared" si="6"/>
        <v>45996</v>
      </c>
      <c r="I50" s="19">
        <f t="shared" si="6"/>
        <v>45997</v>
      </c>
      <c r="J50" s="19">
        <f t="shared" si="6"/>
        <v>45998</v>
      </c>
    </row>
    <row r="51" spans="3:10" x14ac:dyDescent="0.3">
      <c r="C51" s="10">
        <v>50</v>
      </c>
      <c r="D51" s="19">
        <f t="shared" si="5"/>
        <v>45999</v>
      </c>
      <c r="E51" s="19">
        <f t="shared" si="6"/>
        <v>46000</v>
      </c>
      <c r="F51" s="19">
        <f t="shared" si="6"/>
        <v>46001</v>
      </c>
      <c r="G51" s="19">
        <f t="shared" si="6"/>
        <v>46002</v>
      </c>
      <c r="H51" s="19">
        <f t="shared" si="6"/>
        <v>46003</v>
      </c>
      <c r="I51" s="19">
        <f t="shared" si="6"/>
        <v>46004</v>
      </c>
      <c r="J51" s="19">
        <f t="shared" si="6"/>
        <v>46005</v>
      </c>
    </row>
    <row r="52" spans="3:10" x14ac:dyDescent="0.3">
      <c r="C52" s="10">
        <v>51</v>
      </c>
      <c r="D52" s="19">
        <f t="shared" si="5"/>
        <v>46006</v>
      </c>
      <c r="E52" s="19">
        <f t="shared" ref="E52:J54" si="7">D52+1</f>
        <v>46007</v>
      </c>
      <c r="F52" s="19">
        <f t="shared" si="7"/>
        <v>46008</v>
      </c>
      <c r="G52" s="19">
        <f t="shared" si="7"/>
        <v>46009</v>
      </c>
      <c r="H52" s="19">
        <f t="shared" si="7"/>
        <v>46010</v>
      </c>
      <c r="I52" s="19">
        <f t="shared" si="7"/>
        <v>46011</v>
      </c>
      <c r="J52" s="19">
        <f t="shared" si="7"/>
        <v>46012</v>
      </c>
    </row>
    <row r="53" spans="3:10" x14ac:dyDescent="0.3">
      <c r="C53" s="10">
        <v>52</v>
      </c>
      <c r="D53" s="19">
        <f t="shared" si="5"/>
        <v>46013</v>
      </c>
      <c r="E53" s="19">
        <f t="shared" si="7"/>
        <v>46014</v>
      </c>
      <c r="F53" s="19">
        <f t="shared" si="7"/>
        <v>46015</v>
      </c>
      <c r="G53" s="19">
        <f t="shared" si="7"/>
        <v>46016</v>
      </c>
      <c r="H53" s="19">
        <f t="shared" si="7"/>
        <v>46017</v>
      </c>
      <c r="I53" s="19">
        <f t="shared" si="7"/>
        <v>46018</v>
      </c>
      <c r="J53" s="19">
        <f t="shared" si="7"/>
        <v>46019</v>
      </c>
    </row>
    <row r="54" spans="3:10" x14ac:dyDescent="0.3">
      <c r="C54" s="10">
        <v>53</v>
      </c>
      <c r="D54" s="19">
        <f t="shared" si="5"/>
        <v>46020</v>
      </c>
      <c r="E54" s="19">
        <f t="shared" si="7"/>
        <v>46021</v>
      </c>
      <c r="F54" s="19">
        <f t="shared" si="7"/>
        <v>46022</v>
      </c>
      <c r="G54" s="19">
        <f t="shared" si="7"/>
        <v>46023</v>
      </c>
      <c r="H54" s="19">
        <f t="shared" si="7"/>
        <v>46024</v>
      </c>
      <c r="I54" s="19">
        <f t="shared" si="7"/>
        <v>46025</v>
      </c>
      <c r="J54" s="19">
        <f t="shared" si="7"/>
        <v>46026</v>
      </c>
    </row>
  </sheetData>
  <sheetProtection algorithmName="SHA-512" hashValue="fIyTHrU82WpLFLcxOJM8jru+EPgMDueM5Vxvq7pciqnJ/u9tJCdR15YNn4X608/V9Q9HAZVHTJOpWbXhGLzlJQ==" saltValue="9BMP/miz1EygcxageLZuBQ==" spinCount="100000" sheet="1" objects="1" scenarios="1" autoFilter="0" pivotTables="0"/>
  <mergeCells count="1">
    <mergeCell ref="A1:B1"/>
  </mergeCells>
  <phoneticPr fontId="1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42EE-50A7-420B-98E6-04FC0A3A62FA}">
  <sheetPr codeName="Blad55"/>
  <dimension ref="A1:N260"/>
  <sheetViews>
    <sheetView topLeftCell="A241" workbookViewId="0">
      <selection activeCell="C261" sqref="C261"/>
    </sheetView>
  </sheetViews>
  <sheetFormatPr defaultRowHeight="14.4" x14ac:dyDescent="0.3"/>
  <cols>
    <col min="1" max="1" width="10" style="1" bestFit="1" customWidth="1"/>
    <col min="2" max="2" width="7" style="1" customWidth="1"/>
    <col min="3" max="3" width="12.44140625" style="12" bestFit="1" customWidth="1"/>
    <col min="4" max="4" width="8" customWidth="1"/>
    <col min="5" max="5" width="30.88671875" customWidth="1"/>
    <col min="8" max="8" width="29.33203125" style="2" bestFit="1" customWidth="1"/>
    <col min="9" max="9" width="13.109375" bestFit="1" customWidth="1"/>
    <col min="10" max="10" width="9.6640625" bestFit="1" customWidth="1"/>
    <col min="11" max="12" width="15.5546875" bestFit="1" customWidth="1"/>
    <col min="13" max="13" width="15.33203125" bestFit="1" customWidth="1"/>
  </cols>
  <sheetData>
    <row r="1" spans="1:14" s="2" customFormat="1" x14ac:dyDescent="0.3">
      <c r="A1" s="10" t="s">
        <v>822</v>
      </c>
      <c r="B1" s="10"/>
      <c r="C1" s="2" t="s">
        <v>823</v>
      </c>
      <c r="E1" s="2" t="s">
        <v>824</v>
      </c>
      <c r="H1" s="24" t="s">
        <v>16</v>
      </c>
      <c r="I1" s="23">
        <v>40</v>
      </c>
      <c r="J1" s="27"/>
      <c r="K1" s="29">
        <v>20</v>
      </c>
      <c r="L1" s="27"/>
      <c r="M1" s="28"/>
      <c r="N1" s="24"/>
    </row>
    <row r="2" spans="1:14" x14ac:dyDescent="0.3">
      <c r="A2" s="1">
        <v>1</v>
      </c>
      <c r="C2" s="12">
        <v>0</v>
      </c>
      <c r="E2" t="s">
        <v>17</v>
      </c>
      <c r="H2" s="24" t="s">
        <v>20</v>
      </c>
      <c r="I2" s="27" t="s">
        <v>21</v>
      </c>
      <c r="J2" s="27" t="s">
        <v>22</v>
      </c>
      <c r="K2" s="27" t="s">
        <v>23</v>
      </c>
      <c r="L2" s="27" t="s">
        <v>24</v>
      </c>
      <c r="M2" s="28" t="s">
        <v>25</v>
      </c>
      <c r="N2" s="25"/>
    </row>
    <row r="3" spans="1:14" x14ac:dyDescent="0.3">
      <c r="A3" s="1">
        <v>2</v>
      </c>
      <c r="C3" s="12">
        <v>5</v>
      </c>
      <c r="E3" t="s">
        <v>26</v>
      </c>
      <c r="H3" s="25" t="s">
        <v>28</v>
      </c>
      <c r="I3" t="s">
        <v>29</v>
      </c>
      <c r="J3" t="s">
        <v>30</v>
      </c>
      <c r="K3" s="12">
        <f>$I$1</f>
        <v>40</v>
      </c>
      <c r="L3" s="12">
        <v>0</v>
      </c>
      <c r="M3" s="58">
        <f>K3-L3</f>
        <v>40</v>
      </c>
      <c r="N3" s="57"/>
    </row>
    <row r="4" spans="1:14" x14ac:dyDescent="0.3">
      <c r="A4" s="1">
        <v>3</v>
      </c>
      <c r="C4" s="12">
        <v>10</v>
      </c>
      <c r="E4" t="s">
        <v>31</v>
      </c>
      <c r="H4" s="25" t="s">
        <v>33</v>
      </c>
      <c r="I4" t="s">
        <v>29</v>
      </c>
      <c r="J4" t="s">
        <v>30</v>
      </c>
      <c r="K4" s="12">
        <f t="shared" ref="K4:K5" si="0">$I$1</f>
        <v>40</v>
      </c>
      <c r="L4" s="12">
        <v>20</v>
      </c>
      <c r="M4" s="58">
        <f t="shared" ref="M4:M22" si="1">K4-L4</f>
        <v>20</v>
      </c>
      <c r="N4" s="57"/>
    </row>
    <row r="5" spans="1:14" x14ac:dyDescent="0.3">
      <c r="A5" s="1">
        <v>4</v>
      </c>
      <c r="C5" s="12">
        <v>15</v>
      </c>
      <c r="E5" t="s">
        <v>34</v>
      </c>
      <c r="H5" s="25" t="s">
        <v>36</v>
      </c>
      <c r="I5" t="s">
        <v>29</v>
      </c>
      <c r="J5" t="s">
        <v>30</v>
      </c>
      <c r="K5" s="12">
        <f t="shared" si="0"/>
        <v>40</v>
      </c>
      <c r="L5" s="12">
        <v>0</v>
      </c>
      <c r="M5" s="58">
        <f t="shared" si="1"/>
        <v>40</v>
      </c>
      <c r="N5" s="57"/>
    </row>
    <row r="6" spans="1:14" x14ac:dyDescent="0.3">
      <c r="A6" s="1">
        <v>5</v>
      </c>
      <c r="C6" s="12">
        <v>20</v>
      </c>
      <c r="E6" t="s">
        <v>37</v>
      </c>
      <c r="H6" s="25" t="s">
        <v>36</v>
      </c>
      <c r="I6" t="s">
        <v>39</v>
      </c>
      <c r="J6" t="s">
        <v>40</v>
      </c>
      <c r="K6" s="12">
        <f>$K$1</f>
        <v>20</v>
      </c>
      <c r="L6" s="12">
        <v>0</v>
      </c>
      <c r="M6" s="58">
        <f t="shared" si="1"/>
        <v>20</v>
      </c>
      <c r="N6" s="57"/>
    </row>
    <row r="7" spans="1:14" x14ac:dyDescent="0.3">
      <c r="A7" s="1">
        <v>6</v>
      </c>
      <c r="C7" s="12">
        <v>25</v>
      </c>
      <c r="E7" t="s">
        <v>41</v>
      </c>
      <c r="H7" s="25" t="s">
        <v>43</v>
      </c>
      <c r="I7" t="s">
        <v>39</v>
      </c>
      <c r="J7" t="s">
        <v>40</v>
      </c>
      <c r="K7" s="12">
        <f>$K$1</f>
        <v>20</v>
      </c>
      <c r="L7" s="12">
        <v>0</v>
      </c>
      <c r="M7" s="58">
        <f t="shared" si="1"/>
        <v>20</v>
      </c>
      <c r="N7" s="57"/>
    </row>
    <row r="8" spans="1:14" x14ac:dyDescent="0.3">
      <c r="A8" s="1">
        <v>7</v>
      </c>
      <c r="C8" s="12">
        <v>30</v>
      </c>
      <c r="E8" t="s">
        <v>44</v>
      </c>
      <c r="H8" s="25" t="s">
        <v>46</v>
      </c>
      <c r="I8" t="s">
        <v>29</v>
      </c>
      <c r="J8" t="s">
        <v>30</v>
      </c>
      <c r="K8" s="12">
        <f t="shared" ref="K8:K9" si="2">$I$1</f>
        <v>40</v>
      </c>
      <c r="L8" s="12">
        <v>40</v>
      </c>
      <c r="M8" s="58">
        <f t="shared" si="1"/>
        <v>0</v>
      </c>
      <c r="N8" s="57"/>
    </row>
    <row r="9" spans="1:14" x14ac:dyDescent="0.3">
      <c r="A9" s="1">
        <v>8</v>
      </c>
      <c r="C9" s="12">
        <v>35</v>
      </c>
      <c r="E9" t="s">
        <v>47</v>
      </c>
      <c r="H9" s="25" t="s">
        <v>49</v>
      </c>
      <c r="I9" t="s">
        <v>29</v>
      </c>
      <c r="J9" t="s">
        <v>30</v>
      </c>
      <c r="K9" s="12">
        <f t="shared" si="2"/>
        <v>40</v>
      </c>
      <c r="L9" s="12">
        <v>0</v>
      </c>
      <c r="M9" s="58">
        <f t="shared" si="1"/>
        <v>40</v>
      </c>
      <c r="N9" s="57"/>
    </row>
    <row r="10" spans="1:14" x14ac:dyDescent="0.3">
      <c r="A10" s="1">
        <v>9</v>
      </c>
      <c r="C10" s="12">
        <v>40</v>
      </c>
      <c r="E10" t="s">
        <v>50</v>
      </c>
      <c r="H10" s="25" t="s">
        <v>52</v>
      </c>
      <c r="I10" t="s">
        <v>53</v>
      </c>
      <c r="J10" t="s">
        <v>54</v>
      </c>
      <c r="K10" s="12">
        <v>10</v>
      </c>
      <c r="L10" s="12">
        <v>0</v>
      </c>
      <c r="M10" s="58">
        <f t="shared" si="1"/>
        <v>10</v>
      </c>
      <c r="N10" s="57"/>
    </row>
    <row r="11" spans="1:14" x14ac:dyDescent="0.3">
      <c r="A11" s="1">
        <v>10</v>
      </c>
      <c r="C11" s="12">
        <v>45</v>
      </c>
      <c r="H11" s="25" t="s">
        <v>52</v>
      </c>
      <c r="I11" t="s">
        <v>56</v>
      </c>
      <c r="J11" t="s">
        <v>54</v>
      </c>
      <c r="K11" s="12">
        <v>10</v>
      </c>
      <c r="L11" s="12">
        <v>0</v>
      </c>
      <c r="M11" s="58">
        <f t="shared" si="1"/>
        <v>10</v>
      </c>
      <c r="N11" s="57"/>
    </row>
    <row r="12" spans="1:14" x14ac:dyDescent="0.3">
      <c r="A12" s="1" t="s">
        <v>57</v>
      </c>
      <c r="C12" s="12">
        <v>50</v>
      </c>
      <c r="H12" s="25" t="s">
        <v>52</v>
      </c>
      <c r="I12" t="s">
        <v>59</v>
      </c>
      <c r="J12" t="s">
        <v>54</v>
      </c>
      <c r="K12" s="12">
        <v>15</v>
      </c>
      <c r="L12" s="12">
        <v>0</v>
      </c>
      <c r="M12" s="58">
        <f t="shared" si="1"/>
        <v>15</v>
      </c>
      <c r="N12" s="57"/>
    </row>
    <row r="13" spans="1:14" x14ac:dyDescent="0.3">
      <c r="A13" s="1" t="s">
        <v>60</v>
      </c>
      <c r="C13" s="12">
        <v>55</v>
      </c>
      <c r="H13" s="25" t="s">
        <v>62</v>
      </c>
      <c r="I13" t="s">
        <v>29</v>
      </c>
      <c r="J13" t="s">
        <v>30</v>
      </c>
      <c r="K13" s="12">
        <f t="shared" ref="K13:K18" si="3">$I$1</f>
        <v>40</v>
      </c>
      <c r="L13" s="12">
        <v>0</v>
      </c>
      <c r="M13" s="58">
        <f t="shared" si="1"/>
        <v>40</v>
      </c>
      <c r="N13" s="57"/>
    </row>
    <row r="14" spans="1:14" x14ac:dyDescent="0.3">
      <c r="A14" s="1" t="s">
        <v>63</v>
      </c>
      <c r="C14" s="12">
        <v>60</v>
      </c>
      <c r="H14" s="25" t="s">
        <v>65</v>
      </c>
      <c r="I14" t="s">
        <v>29</v>
      </c>
      <c r="J14" t="s">
        <v>30</v>
      </c>
      <c r="K14" s="12">
        <f t="shared" si="3"/>
        <v>40</v>
      </c>
      <c r="L14" s="12">
        <v>20</v>
      </c>
      <c r="M14" s="58">
        <f t="shared" si="1"/>
        <v>20</v>
      </c>
      <c r="N14" s="57"/>
    </row>
    <row r="15" spans="1:14" x14ac:dyDescent="0.3">
      <c r="A15" s="1" t="s">
        <v>66</v>
      </c>
      <c r="C15" s="12">
        <v>65</v>
      </c>
      <c r="H15" s="25" t="s">
        <v>68</v>
      </c>
      <c r="I15" t="s">
        <v>29</v>
      </c>
      <c r="J15" t="s">
        <v>30</v>
      </c>
      <c r="K15" s="12">
        <f t="shared" si="3"/>
        <v>40</v>
      </c>
      <c r="L15" s="12">
        <v>0</v>
      </c>
      <c r="M15" s="58">
        <f t="shared" si="1"/>
        <v>40</v>
      </c>
      <c r="N15" s="57"/>
    </row>
    <row r="16" spans="1:14" x14ac:dyDescent="0.3">
      <c r="A16" s="1" t="s">
        <v>69</v>
      </c>
      <c r="C16" s="12">
        <v>70</v>
      </c>
      <c r="H16" s="25" t="s">
        <v>71</v>
      </c>
      <c r="I16" t="s">
        <v>29</v>
      </c>
      <c r="J16" t="s">
        <v>30</v>
      </c>
      <c r="K16" s="12">
        <f t="shared" si="3"/>
        <v>40</v>
      </c>
      <c r="L16" s="12">
        <v>10</v>
      </c>
      <c r="M16" s="58">
        <f t="shared" si="1"/>
        <v>30</v>
      </c>
      <c r="N16" s="57"/>
    </row>
    <row r="17" spans="1:14" x14ac:dyDescent="0.3">
      <c r="A17" s="1" t="s">
        <v>72</v>
      </c>
      <c r="C17" s="12">
        <v>75</v>
      </c>
      <c r="H17" s="25" t="s">
        <v>74</v>
      </c>
      <c r="I17" t="s">
        <v>29</v>
      </c>
      <c r="J17" t="s">
        <v>30</v>
      </c>
      <c r="K17" s="12">
        <f t="shared" si="3"/>
        <v>40</v>
      </c>
      <c r="L17" s="12">
        <v>0</v>
      </c>
      <c r="M17" s="58">
        <f t="shared" si="1"/>
        <v>40</v>
      </c>
      <c r="N17" s="57"/>
    </row>
    <row r="18" spans="1:14" x14ac:dyDescent="0.3">
      <c r="A18" s="1" t="s">
        <v>75</v>
      </c>
      <c r="C18" s="12">
        <v>80</v>
      </c>
      <c r="H18" s="25" t="s">
        <v>76</v>
      </c>
      <c r="I18" t="s">
        <v>29</v>
      </c>
      <c r="J18" t="s">
        <v>30</v>
      </c>
      <c r="K18" s="12">
        <f t="shared" si="3"/>
        <v>40</v>
      </c>
      <c r="L18" s="12">
        <v>0</v>
      </c>
      <c r="M18" s="58">
        <f t="shared" si="1"/>
        <v>40</v>
      </c>
      <c r="N18" s="57"/>
    </row>
    <row r="19" spans="1:14" x14ac:dyDescent="0.3">
      <c r="A19" s="1" t="s">
        <v>77</v>
      </c>
      <c r="C19" s="12">
        <v>85</v>
      </c>
      <c r="H19" s="25" t="s">
        <v>78</v>
      </c>
      <c r="I19" t="s">
        <v>79</v>
      </c>
      <c r="J19" t="s">
        <v>80</v>
      </c>
      <c r="K19" s="12">
        <v>75</v>
      </c>
      <c r="L19" s="12">
        <v>0</v>
      </c>
      <c r="M19" s="58">
        <f t="shared" si="1"/>
        <v>75</v>
      </c>
      <c r="N19" s="57"/>
    </row>
    <row r="20" spans="1:14" x14ac:dyDescent="0.3">
      <c r="A20" s="1" t="s">
        <v>81</v>
      </c>
      <c r="C20" s="12">
        <v>90</v>
      </c>
      <c r="H20" s="25" t="s">
        <v>82</v>
      </c>
      <c r="I20" t="s">
        <v>29</v>
      </c>
      <c r="J20" t="s">
        <v>30</v>
      </c>
      <c r="K20" s="12">
        <f t="shared" ref="K20" si="4">$I$1</f>
        <v>40</v>
      </c>
      <c r="L20" s="12">
        <v>20</v>
      </c>
      <c r="M20" s="58">
        <f t="shared" si="1"/>
        <v>20</v>
      </c>
      <c r="N20" s="57"/>
    </row>
    <row r="21" spans="1:14" x14ac:dyDescent="0.3">
      <c r="A21" s="1" t="s">
        <v>83</v>
      </c>
      <c r="C21" s="12">
        <v>95</v>
      </c>
      <c r="H21" s="25" t="s">
        <v>82</v>
      </c>
      <c r="I21" t="s">
        <v>39</v>
      </c>
      <c r="J21" t="s">
        <v>40</v>
      </c>
      <c r="K21" s="12">
        <f>$K$1</f>
        <v>20</v>
      </c>
      <c r="L21" s="12">
        <v>0</v>
      </c>
      <c r="M21" s="58">
        <f t="shared" si="1"/>
        <v>20</v>
      </c>
      <c r="N21" s="57"/>
    </row>
    <row r="22" spans="1:14" x14ac:dyDescent="0.3">
      <c r="A22" s="1" t="s">
        <v>84</v>
      </c>
      <c r="C22" s="12">
        <v>100</v>
      </c>
      <c r="H22" s="25" t="s">
        <v>85</v>
      </c>
      <c r="I22" t="s">
        <v>29</v>
      </c>
      <c r="J22" t="s">
        <v>30</v>
      </c>
      <c r="K22" s="12">
        <f t="shared" ref="K22" si="5">$I$1</f>
        <v>40</v>
      </c>
      <c r="L22" s="12">
        <v>0</v>
      </c>
      <c r="M22" s="58">
        <f t="shared" si="1"/>
        <v>40</v>
      </c>
      <c r="N22" s="57"/>
    </row>
    <row r="23" spans="1:14" x14ac:dyDescent="0.3">
      <c r="A23" s="1" t="s">
        <v>86</v>
      </c>
      <c r="C23" s="12">
        <v>350</v>
      </c>
      <c r="H23" s="25"/>
      <c r="M23" s="20"/>
      <c r="N23" s="57"/>
    </row>
    <row r="24" spans="1:14" x14ac:dyDescent="0.3">
      <c r="A24" s="1" t="s">
        <v>87</v>
      </c>
      <c r="C24" s="12">
        <v>400</v>
      </c>
      <c r="H24" s="25"/>
      <c r="M24" s="20"/>
      <c r="N24" s="57"/>
    </row>
    <row r="25" spans="1:14" x14ac:dyDescent="0.3">
      <c r="A25" s="1" t="s">
        <v>88</v>
      </c>
      <c r="C25" s="12">
        <v>450</v>
      </c>
      <c r="H25" s="25"/>
      <c r="M25" s="20"/>
      <c r="N25" s="57"/>
    </row>
    <row r="26" spans="1:14" x14ac:dyDescent="0.3">
      <c r="A26" s="1" t="s">
        <v>89</v>
      </c>
      <c r="C26" s="12">
        <v>500</v>
      </c>
      <c r="H26" s="25"/>
      <c r="M26" s="20"/>
      <c r="N26" s="57"/>
    </row>
    <row r="27" spans="1:14" x14ac:dyDescent="0.3">
      <c r="A27" s="1" t="s">
        <v>90</v>
      </c>
      <c r="C27" s="12">
        <v>600</v>
      </c>
      <c r="H27" s="25"/>
      <c r="M27" s="20"/>
      <c r="N27" s="57"/>
    </row>
    <row r="28" spans="1:14" x14ac:dyDescent="0.3">
      <c r="A28" s="1" t="s">
        <v>91</v>
      </c>
      <c r="C28" s="12">
        <v>650</v>
      </c>
      <c r="H28" s="25"/>
      <c r="M28" s="20"/>
      <c r="N28" s="57"/>
    </row>
    <row r="29" spans="1:14" x14ac:dyDescent="0.3">
      <c r="A29" s="1" t="s">
        <v>92</v>
      </c>
      <c r="C29" s="12">
        <v>750</v>
      </c>
      <c r="H29" s="25"/>
      <c r="M29" s="20"/>
    </row>
    <row r="30" spans="1:14" x14ac:dyDescent="0.3">
      <c r="A30" s="1" t="s">
        <v>93</v>
      </c>
      <c r="C30" s="12">
        <v>850</v>
      </c>
      <c r="H30" s="25"/>
      <c r="M30" s="20"/>
    </row>
    <row r="31" spans="1:14" x14ac:dyDescent="0.3">
      <c r="A31" s="1" t="s">
        <v>94</v>
      </c>
      <c r="C31" s="12">
        <v>900</v>
      </c>
      <c r="H31" s="26"/>
      <c r="I31" s="21"/>
      <c r="J31" s="21"/>
      <c r="K31" s="21"/>
      <c r="L31" s="21"/>
      <c r="M31" s="22"/>
    </row>
    <row r="32" spans="1:14" x14ac:dyDescent="0.3">
      <c r="A32" s="1">
        <v>31</v>
      </c>
      <c r="C32" s="12">
        <v>950</v>
      </c>
    </row>
    <row r="33" spans="1:3" x14ac:dyDescent="0.3">
      <c r="A33" s="1">
        <v>32</v>
      </c>
      <c r="C33" s="12">
        <v>1000</v>
      </c>
    </row>
    <row r="34" spans="1:3" x14ac:dyDescent="0.3">
      <c r="A34" s="1">
        <v>33</v>
      </c>
      <c r="C34" s="12">
        <v>1050</v>
      </c>
    </row>
    <row r="35" spans="1:3" x14ac:dyDescent="0.3">
      <c r="A35" s="1">
        <v>34</v>
      </c>
      <c r="C35" s="12">
        <v>1100</v>
      </c>
    </row>
    <row r="36" spans="1:3" x14ac:dyDescent="0.3">
      <c r="A36" s="1">
        <v>35</v>
      </c>
      <c r="C36" s="12">
        <v>1150</v>
      </c>
    </row>
    <row r="37" spans="1:3" x14ac:dyDescent="0.3">
      <c r="A37" s="1">
        <v>36</v>
      </c>
      <c r="C37" s="12">
        <v>1200</v>
      </c>
    </row>
    <row r="38" spans="1:3" x14ac:dyDescent="0.3">
      <c r="A38" s="1">
        <v>37</v>
      </c>
      <c r="C38" s="12">
        <v>1250</v>
      </c>
    </row>
    <row r="39" spans="1:3" x14ac:dyDescent="0.3">
      <c r="A39" s="1">
        <v>38</v>
      </c>
      <c r="C39" s="12">
        <v>1300</v>
      </c>
    </row>
    <row r="40" spans="1:3" x14ac:dyDescent="0.3">
      <c r="A40" s="1">
        <v>39</v>
      </c>
      <c r="C40" s="12">
        <v>1350</v>
      </c>
    </row>
    <row r="41" spans="1:3" x14ac:dyDescent="0.3">
      <c r="A41" s="1">
        <v>40</v>
      </c>
      <c r="C41" s="12">
        <v>1400</v>
      </c>
    </row>
    <row r="42" spans="1:3" x14ac:dyDescent="0.3">
      <c r="A42" s="1">
        <v>41</v>
      </c>
      <c r="C42" s="12">
        <v>1450</v>
      </c>
    </row>
    <row r="43" spans="1:3" x14ac:dyDescent="0.3">
      <c r="A43" s="1">
        <v>42</v>
      </c>
      <c r="C43" s="12">
        <v>1500</v>
      </c>
    </row>
    <row r="44" spans="1:3" x14ac:dyDescent="0.3">
      <c r="A44" s="1">
        <v>43</v>
      </c>
      <c r="C44" s="12">
        <v>1550</v>
      </c>
    </row>
    <row r="45" spans="1:3" x14ac:dyDescent="0.3">
      <c r="A45" s="1">
        <v>44</v>
      </c>
      <c r="C45" s="12">
        <v>1600</v>
      </c>
    </row>
    <row r="46" spans="1:3" x14ac:dyDescent="0.3">
      <c r="A46" s="1">
        <v>45</v>
      </c>
      <c r="C46" s="12">
        <v>1650</v>
      </c>
    </row>
    <row r="47" spans="1:3" x14ac:dyDescent="0.3">
      <c r="A47" s="1">
        <v>46</v>
      </c>
      <c r="C47" s="12">
        <v>1700</v>
      </c>
    </row>
    <row r="48" spans="1:3" x14ac:dyDescent="0.3">
      <c r="A48" s="1">
        <v>47</v>
      </c>
      <c r="C48" s="12">
        <v>1750</v>
      </c>
    </row>
    <row r="49" spans="1:3" x14ac:dyDescent="0.3">
      <c r="A49" s="1">
        <v>48</v>
      </c>
      <c r="C49" s="12">
        <v>1800</v>
      </c>
    </row>
    <row r="50" spans="1:3" x14ac:dyDescent="0.3">
      <c r="A50" s="1">
        <v>49</v>
      </c>
      <c r="C50" s="12">
        <v>1850</v>
      </c>
    </row>
    <row r="51" spans="1:3" x14ac:dyDescent="0.3">
      <c r="A51" s="1">
        <v>50</v>
      </c>
      <c r="C51" s="12">
        <v>1900</v>
      </c>
    </row>
    <row r="52" spans="1:3" x14ac:dyDescent="0.3">
      <c r="A52" s="1" t="s">
        <v>95</v>
      </c>
      <c r="C52" s="12">
        <v>1950</v>
      </c>
    </row>
    <row r="53" spans="1:3" x14ac:dyDescent="0.3">
      <c r="A53" s="1" t="s">
        <v>96</v>
      </c>
      <c r="C53" s="12">
        <v>2000</v>
      </c>
    </row>
    <row r="54" spans="1:3" x14ac:dyDescent="0.3">
      <c r="A54" s="1" t="s">
        <v>97</v>
      </c>
      <c r="C54" s="12">
        <v>2100</v>
      </c>
    </row>
    <row r="55" spans="1:3" x14ac:dyDescent="0.3">
      <c r="A55" s="1" t="s">
        <v>98</v>
      </c>
      <c r="C55" s="12">
        <v>2200</v>
      </c>
    </row>
    <row r="56" spans="1:3" x14ac:dyDescent="0.3">
      <c r="A56" s="1" t="s">
        <v>99</v>
      </c>
      <c r="C56" s="12">
        <v>2300</v>
      </c>
    </row>
    <row r="57" spans="1:3" x14ac:dyDescent="0.3">
      <c r="A57" s="1" t="s">
        <v>100</v>
      </c>
      <c r="C57" s="12">
        <v>2400</v>
      </c>
    </row>
    <row r="58" spans="1:3" x14ac:dyDescent="0.3">
      <c r="A58" s="1" t="s">
        <v>101</v>
      </c>
      <c r="C58" s="12">
        <v>2500</v>
      </c>
    </row>
    <row r="59" spans="1:3" x14ac:dyDescent="0.3">
      <c r="A59" s="1" t="s">
        <v>102</v>
      </c>
      <c r="C59" s="12">
        <v>2600</v>
      </c>
    </row>
    <row r="60" spans="1:3" x14ac:dyDescent="0.3">
      <c r="A60" s="1" t="s">
        <v>103</v>
      </c>
      <c r="C60" s="12">
        <v>2700</v>
      </c>
    </row>
    <row r="61" spans="1:3" x14ac:dyDescent="0.3">
      <c r="A61" s="1" t="s">
        <v>104</v>
      </c>
      <c r="C61" s="12">
        <v>2800</v>
      </c>
    </row>
    <row r="62" spans="1:3" x14ac:dyDescent="0.3">
      <c r="A62" s="1" t="s">
        <v>105</v>
      </c>
      <c r="C62" s="12">
        <v>2900</v>
      </c>
    </row>
    <row r="63" spans="1:3" x14ac:dyDescent="0.3">
      <c r="A63" s="1" t="s">
        <v>106</v>
      </c>
      <c r="C63" s="12">
        <v>3000</v>
      </c>
    </row>
    <row r="64" spans="1:3" x14ac:dyDescent="0.3">
      <c r="A64" s="1" t="s">
        <v>107</v>
      </c>
      <c r="C64" s="12">
        <v>3250</v>
      </c>
    </row>
    <row r="65" spans="1:3" x14ac:dyDescent="0.3">
      <c r="A65" s="1" t="s">
        <v>108</v>
      </c>
      <c r="C65" s="12">
        <v>3500</v>
      </c>
    </row>
    <row r="66" spans="1:3" x14ac:dyDescent="0.3">
      <c r="A66" s="1" t="s">
        <v>109</v>
      </c>
      <c r="C66" s="12">
        <v>3750</v>
      </c>
    </row>
    <row r="67" spans="1:3" x14ac:dyDescent="0.3">
      <c r="A67" s="1" t="s">
        <v>110</v>
      </c>
      <c r="C67" s="12">
        <v>4000</v>
      </c>
    </row>
    <row r="68" spans="1:3" x14ac:dyDescent="0.3">
      <c r="A68" s="1" t="s">
        <v>111</v>
      </c>
      <c r="C68" s="12">
        <v>4250</v>
      </c>
    </row>
    <row r="69" spans="1:3" x14ac:dyDescent="0.3">
      <c r="A69" s="1" t="s">
        <v>112</v>
      </c>
      <c r="C69" s="12">
        <v>4500</v>
      </c>
    </row>
    <row r="70" spans="1:3" x14ac:dyDescent="0.3">
      <c r="A70" s="1" t="s">
        <v>113</v>
      </c>
      <c r="C70" s="12">
        <v>4750</v>
      </c>
    </row>
    <row r="71" spans="1:3" x14ac:dyDescent="0.3">
      <c r="A71" s="1" t="s">
        <v>114</v>
      </c>
      <c r="C71" s="12">
        <v>5000</v>
      </c>
    </row>
    <row r="72" spans="1:3" x14ac:dyDescent="0.3">
      <c r="A72" s="1" t="s">
        <v>115</v>
      </c>
      <c r="C72" s="12">
        <v>5250</v>
      </c>
    </row>
    <row r="73" spans="1:3" x14ac:dyDescent="0.3">
      <c r="A73" s="1" t="s">
        <v>116</v>
      </c>
      <c r="C73" s="12">
        <v>5500</v>
      </c>
    </row>
    <row r="74" spans="1:3" x14ac:dyDescent="0.3">
      <c r="A74" s="1" t="s">
        <v>117</v>
      </c>
      <c r="C74" s="12">
        <v>5750</v>
      </c>
    </row>
    <row r="75" spans="1:3" x14ac:dyDescent="0.3">
      <c r="A75" s="1" t="s">
        <v>118</v>
      </c>
      <c r="C75" s="12">
        <v>6000</v>
      </c>
    </row>
    <row r="76" spans="1:3" x14ac:dyDescent="0.3">
      <c r="A76" s="1" t="s">
        <v>119</v>
      </c>
      <c r="C76" s="12">
        <v>6250</v>
      </c>
    </row>
    <row r="77" spans="1:3" x14ac:dyDescent="0.3">
      <c r="A77" s="1" t="s">
        <v>120</v>
      </c>
      <c r="C77" s="12">
        <v>6500</v>
      </c>
    </row>
    <row r="78" spans="1:3" x14ac:dyDescent="0.3">
      <c r="A78" s="1" t="s">
        <v>121</v>
      </c>
      <c r="C78" s="12">
        <v>6750</v>
      </c>
    </row>
    <row r="79" spans="1:3" x14ac:dyDescent="0.3">
      <c r="A79" s="1" t="s">
        <v>122</v>
      </c>
      <c r="C79" s="12">
        <v>7000</v>
      </c>
    </row>
    <row r="80" spans="1:3" x14ac:dyDescent="0.3">
      <c r="A80" s="1" t="s">
        <v>123</v>
      </c>
      <c r="C80" s="12">
        <v>7250</v>
      </c>
    </row>
    <row r="81" spans="1:3" x14ac:dyDescent="0.3">
      <c r="A81" s="1" t="s">
        <v>124</v>
      </c>
      <c r="C81" s="12">
        <v>7500</v>
      </c>
    </row>
    <row r="82" spans="1:3" x14ac:dyDescent="0.3">
      <c r="A82" s="1" t="s">
        <v>125</v>
      </c>
      <c r="C82" s="12">
        <v>7750</v>
      </c>
    </row>
    <row r="83" spans="1:3" x14ac:dyDescent="0.3">
      <c r="A83" s="1" t="s">
        <v>126</v>
      </c>
      <c r="C83" s="12">
        <v>8000</v>
      </c>
    </row>
    <row r="84" spans="1:3" x14ac:dyDescent="0.3">
      <c r="A84" s="1" t="s">
        <v>127</v>
      </c>
      <c r="C84" s="12">
        <v>8250</v>
      </c>
    </row>
    <row r="85" spans="1:3" x14ac:dyDescent="0.3">
      <c r="A85" s="1" t="s">
        <v>128</v>
      </c>
      <c r="C85" s="12">
        <v>8500</v>
      </c>
    </row>
    <row r="86" spans="1:3" x14ac:dyDescent="0.3">
      <c r="C86" s="12">
        <v>8750</v>
      </c>
    </row>
    <row r="87" spans="1:3" x14ac:dyDescent="0.3">
      <c r="C87" s="12">
        <v>9000</v>
      </c>
    </row>
    <row r="88" spans="1:3" x14ac:dyDescent="0.3">
      <c r="C88" s="12">
        <v>9250</v>
      </c>
    </row>
    <row r="89" spans="1:3" x14ac:dyDescent="0.3">
      <c r="C89" s="12">
        <v>9500</v>
      </c>
    </row>
    <row r="90" spans="1:3" x14ac:dyDescent="0.3">
      <c r="C90" s="12">
        <v>9750</v>
      </c>
    </row>
    <row r="91" spans="1:3" x14ac:dyDescent="0.3">
      <c r="C91" s="12">
        <v>10000</v>
      </c>
    </row>
    <row r="92" spans="1:3" x14ac:dyDescent="0.3">
      <c r="C92" s="12">
        <v>10250</v>
      </c>
    </row>
    <row r="93" spans="1:3" x14ac:dyDescent="0.3">
      <c r="C93" s="12">
        <v>10500</v>
      </c>
    </row>
    <row r="94" spans="1:3" x14ac:dyDescent="0.3">
      <c r="C94" s="12">
        <v>10750</v>
      </c>
    </row>
    <row r="95" spans="1:3" x14ac:dyDescent="0.3">
      <c r="C95" s="12">
        <v>11000</v>
      </c>
    </row>
    <row r="96" spans="1:3" x14ac:dyDescent="0.3">
      <c r="C96" s="12">
        <v>11250</v>
      </c>
    </row>
    <row r="97" spans="3:3" x14ac:dyDescent="0.3">
      <c r="C97" s="12">
        <v>11500</v>
      </c>
    </row>
    <row r="98" spans="3:3" x14ac:dyDescent="0.3">
      <c r="C98" s="12">
        <v>11750</v>
      </c>
    </row>
    <row r="99" spans="3:3" x14ac:dyDescent="0.3">
      <c r="C99" s="12">
        <v>12000</v>
      </c>
    </row>
    <row r="100" spans="3:3" x14ac:dyDescent="0.3">
      <c r="C100" s="12">
        <v>12250</v>
      </c>
    </row>
    <row r="101" spans="3:3" x14ac:dyDescent="0.3">
      <c r="C101" s="12">
        <v>12500</v>
      </c>
    </row>
    <row r="102" spans="3:3" x14ac:dyDescent="0.3">
      <c r="C102" s="12">
        <v>12750</v>
      </c>
    </row>
    <row r="103" spans="3:3" x14ac:dyDescent="0.3">
      <c r="C103" s="12">
        <v>13000</v>
      </c>
    </row>
    <row r="104" spans="3:3" x14ac:dyDescent="0.3">
      <c r="C104" s="12">
        <v>13250</v>
      </c>
    </row>
    <row r="105" spans="3:3" x14ac:dyDescent="0.3">
      <c r="C105" s="12">
        <v>13500</v>
      </c>
    </row>
    <row r="106" spans="3:3" x14ac:dyDescent="0.3">
      <c r="C106" s="12">
        <v>13750</v>
      </c>
    </row>
    <row r="107" spans="3:3" x14ac:dyDescent="0.3">
      <c r="C107" s="12">
        <v>14000</v>
      </c>
    </row>
    <row r="108" spans="3:3" x14ac:dyDescent="0.3">
      <c r="C108" s="12">
        <v>14250</v>
      </c>
    </row>
    <row r="109" spans="3:3" x14ac:dyDescent="0.3">
      <c r="C109" s="12">
        <v>14500</v>
      </c>
    </row>
    <row r="110" spans="3:3" x14ac:dyDescent="0.3">
      <c r="C110" s="12">
        <v>14750</v>
      </c>
    </row>
    <row r="111" spans="3:3" x14ac:dyDescent="0.3">
      <c r="C111" s="12">
        <v>15000</v>
      </c>
    </row>
    <row r="112" spans="3:3" x14ac:dyDescent="0.3">
      <c r="C112" s="12">
        <v>15250</v>
      </c>
    </row>
    <row r="113" spans="3:3" x14ac:dyDescent="0.3">
      <c r="C113" s="12">
        <v>15500</v>
      </c>
    </row>
    <row r="114" spans="3:3" x14ac:dyDescent="0.3">
      <c r="C114" s="12">
        <v>15750</v>
      </c>
    </row>
    <row r="115" spans="3:3" x14ac:dyDescent="0.3">
      <c r="C115" s="12">
        <v>16000</v>
      </c>
    </row>
    <row r="116" spans="3:3" x14ac:dyDescent="0.3">
      <c r="C116" s="12">
        <v>16250</v>
      </c>
    </row>
    <row r="117" spans="3:3" x14ac:dyDescent="0.3">
      <c r="C117" s="12">
        <v>16500</v>
      </c>
    </row>
    <row r="118" spans="3:3" x14ac:dyDescent="0.3">
      <c r="C118" s="12">
        <v>16750</v>
      </c>
    </row>
    <row r="119" spans="3:3" x14ac:dyDescent="0.3">
      <c r="C119" s="12">
        <v>17000</v>
      </c>
    </row>
    <row r="120" spans="3:3" x14ac:dyDescent="0.3">
      <c r="C120" s="12">
        <v>17250</v>
      </c>
    </row>
    <row r="121" spans="3:3" x14ac:dyDescent="0.3">
      <c r="C121" s="12">
        <v>17500</v>
      </c>
    </row>
    <row r="122" spans="3:3" x14ac:dyDescent="0.3">
      <c r="C122" s="12">
        <v>17750</v>
      </c>
    </row>
    <row r="123" spans="3:3" x14ac:dyDescent="0.3">
      <c r="C123" s="12">
        <v>18000</v>
      </c>
    </row>
    <row r="124" spans="3:3" x14ac:dyDescent="0.3">
      <c r="C124" s="12">
        <v>18250</v>
      </c>
    </row>
    <row r="125" spans="3:3" x14ac:dyDescent="0.3">
      <c r="C125" s="12">
        <v>18500</v>
      </c>
    </row>
    <row r="126" spans="3:3" x14ac:dyDescent="0.3">
      <c r="C126" s="12">
        <v>18750</v>
      </c>
    </row>
    <row r="127" spans="3:3" x14ac:dyDescent="0.3">
      <c r="C127" s="12">
        <v>19000</v>
      </c>
    </row>
    <row r="128" spans="3:3" x14ac:dyDescent="0.3">
      <c r="C128" s="12">
        <v>19250</v>
      </c>
    </row>
    <row r="129" spans="3:3" x14ac:dyDescent="0.3">
      <c r="C129" s="12">
        <v>19500</v>
      </c>
    </row>
    <row r="130" spans="3:3" x14ac:dyDescent="0.3">
      <c r="C130" s="12">
        <v>19750</v>
      </c>
    </row>
    <row r="131" spans="3:3" x14ac:dyDescent="0.3">
      <c r="C131" s="12">
        <v>20000</v>
      </c>
    </row>
    <row r="132" spans="3:3" x14ac:dyDescent="0.3">
      <c r="C132" s="12">
        <v>20250</v>
      </c>
    </row>
    <row r="133" spans="3:3" x14ac:dyDescent="0.3">
      <c r="C133" s="12">
        <v>20500</v>
      </c>
    </row>
    <row r="134" spans="3:3" x14ac:dyDescent="0.3">
      <c r="C134" s="12">
        <v>20750</v>
      </c>
    </row>
    <row r="135" spans="3:3" x14ac:dyDescent="0.3">
      <c r="C135" s="12">
        <v>21000</v>
      </c>
    </row>
    <row r="136" spans="3:3" x14ac:dyDescent="0.3">
      <c r="C136" s="12">
        <v>21250</v>
      </c>
    </row>
    <row r="137" spans="3:3" x14ac:dyDescent="0.3">
      <c r="C137" s="12">
        <v>21500</v>
      </c>
    </row>
    <row r="138" spans="3:3" x14ac:dyDescent="0.3">
      <c r="C138" s="12">
        <v>21750</v>
      </c>
    </row>
    <row r="139" spans="3:3" x14ac:dyDescent="0.3">
      <c r="C139" s="12">
        <v>22000</v>
      </c>
    </row>
    <row r="140" spans="3:3" x14ac:dyDescent="0.3">
      <c r="C140" s="12">
        <v>22250</v>
      </c>
    </row>
    <row r="141" spans="3:3" x14ac:dyDescent="0.3">
      <c r="C141" s="12">
        <v>22500</v>
      </c>
    </row>
    <row r="142" spans="3:3" x14ac:dyDescent="0.3">
      <c r="C142" s="12">
        <v>22750</v>
      </c>
    </row>
    <row r="143" spans="3:3" x14ac:dyDescent="0.3">
      <c r="C143" s="12">
        <v>23000</v>
      </c>
    </row>
    <row r="144" spans="3:3" x14ac:dyDescent="0.3">
      <c r="C144" s="12">
        <v>23250</v>
      </c>
    </row>
    <row r="145" spans="3:3" x14ac:dyDescent="0.3">
      <c r="C145" s="12">
        <v>23500</v>
      </c>
    </row>
    <row r="146" spans="3:3" x14ac:dyDescent="0.3">
      <c r="C146" s="12">
        <v>23750</v>
      </c>
    </row>
    <row r="147" spans="3:3" x14ac:dyDescent="0.3">
      <c r="C147" s="12">
        <v>24000</v>
      </c>
    </row>
    <row r="148" spans="3:3" x14ac:dyDescent="0.3">
      <c r="C148" s="12">
        <v>24250</v>
      </c>
    </row>
    <row r="149" spans="3:3" x14ac:dyDescent="0.3">
      <c r="C149" s="12">
        <v>24500</v>
      </c>
    </row>
    <row r="150" spans="3:3" x14ac:dyDescent="0.3">
      <c r="C150" s="12">
        <v>24750</v>
      </c>
    </row>
    <row r="151" spans="3:3" x14ac:dyDescent="0.3">
      <c r="C151" s="12">
        <v>25000</v>
      </c>
    </row>
    <row r="152" spans="3:3" x14ac:dyDescent="0.3">
      <c r="C152" s="12">
        <v>25250</v>
      </c>
    </row>
    <row r="153" spans="3:3" x14ac:dyDescent="0.3">
      <c r="C153" s="12">
        <v>25500</v>
      </c>
    </row>
    <row r="154" spans="3:3" x14ac:dyDescent="0.3">
      <c r="C154" s="12">
        <v>25750</v>
      </c>
    </row>
    <row r="155" spans="3:3" x14ac:dyDescent="0.3">
      <c r="C155" s="12">
        <v>26000</v>
      </c>
    </row>
    <row r="156" spans="3:3" x14ac:dyDescent="0.3">
      <c r="C156" s="12">
        <v>26250</v>
      </c>
    </row>
    <row r="157" spans="3:3" x14ac:dyDescent="0.3">
      <c r="C157" s="12">
        <v>26500</v>
      </c>
    </row>
    <row r="158" spans="3:3" x14ac:dyDescent="0.3">
      <c r="C158" s="12">
        <v>26750</v>
      </c>
    </row>
    <row r="159" spans="3:3" x14ac:dyDescent="0.3">
      <c r="C159" s="12">
        <v>27000</v>
      </c>
    </row>
    <row r="160" spans="3:3" x14ac:dyDescent="0.3">
      <c r="C160" s="12">
        <v>27250</v>
      </c>
    </row>
    <row r="161" spans="3:3" x14ac:dyDescent="0.3">
      <c r="C161" s="12">
        <v>27500</v>
      </c>
    </row>
    <row r="162" spans="3:3" x14ac:dyDescent="0.3">
      <c r="C162" s="12">
        <v>27750</v>
      </c>
    </row>
    <row r="163" spans="3:3" x14ac:dyDescent="0.3">
      <c r="C163" s="12">
        <v>28000</v>
      </c>
    </row>
    <row r="164" spans="3:3" x14ac:dyDescent="0.3">
      <c r="C164" s="12">
        <v>28250</v>
      </c>
    </row>
    <row r="165" spans="3:3" x14ac:dyDescent="0.3">
      <c r="C165" s="12">
        <v>28500</v>
      </c>
    </row>
    <row r="166" spans="3:3" x14ac:dyDescent="0.3">
      <c r="C166" s="12">
        <v>28750</v>
      </c>
    </row>
    <row r="167" spans="3:3" x14ac:dyDescent="0.3">
      <c r="C167" s="12">
        <v>29000</v>
      </c>
    </row>
    <row r="168" spans="3:3" x14ac:dyDescent="0.3">
      <c r="C168" s="12">
        <v>29250</v>
      </c>
    </row>
    <row r="169" spans="3:3" x14ac:dyDescent="0.3">
      <c r="C169" s="12">
        <v>29500</v>
      </c>
    </row>
    <row r="170" spans="3:3" x14ac:dyDescent="0.3">
      <c r="C170" s="12">
        <v>29750</v>
      </c>
    </row>
    <row r="171" spans="3:3" x14ac:dyDescent="0.3">
      <c r="C171" s="12">
        <v>30000</v>
      </c>
    </row>
    <row r="172" spans="3:3" x14ac:dyDescent="0.3">
      <c r="C172" s="12">
        <v>30250</v>
      </c>
    </row>
    <row r="173" spans="3:3" x14ac:dyDescent="0.3">
      <c r="C173" s="12">
        <v>30500</v>
      </c>
    </row>
    <row r="174" spans="3:3" x14ac:dyDescent="0.3">
      <c r="C174" s="12">
        <v>30750</v>
      </c>
    </row>
    <row r="175" spans="3:3" x14ac:dyDescent="0.3">
      <c r="C175" s="12">
        <v>31000</v>
      </c>
    </row>
    <row r="176" spans="3:3" x14ac:dyDescent="0.3">
      <c r="C176" s="12">
        <v>31250</v>
      </c>
    </row>
    <row r="177" spans="3:3" x14ac:dyDescent="0.3">
      <c r="C177" s="12">
        <v>31500</v>
      </c>
    </row>
    <row r="178" spans="3:3" x14ac:dyDescent="0.3">
      <c r="C178" s="12">
        <v>31750</v>
      </c>
    </row>
    <row r="179" spans="3:3" x14ac:dyDescent="0.3">
      <c r="C179" s="12">
        <v>32000</v>
      </c>
    </row>
    <row r="180" spans="3:3" x14ac:dyDescent="0.3">
      <c r="C180" s="12">
        <v>32250</v>
      </c>
    </row>
    <row r="181" spans="3:3" x14ac:dyDescent="0.3">
      <c r="C181" s="12">
        <v>32500</v>
      </c>
    </row>
    <row r="182" spans="3:3" x14ac:dyDescent="0.3">
      <c r="C182" s="12">
        <v>32750</v>
      </c>
    </row>
    <row r="183" spans="3:3" x14ac:dyDescent="0.3">
      <c r="C183" s="12">
        <v>33000</v>
      </c>
    </row>
    <row r="184" spans="3:3" x14ac:dyDescent="0.3">
      <c r="C184" s="12">
        <v>33250</v>
      </c>
    </row>
    <row r="185" spans="3:3" x14ac:dyDescent="0.3">
      <c r="C185" s="12">
        <v>33500</v>
      </c>
    </row>
    <row r="186" spans="3:3" x14ac:dyDescent="0.3">
      <c r="C186" s="12">
        <v>33750</v>
      </c>
    </row>
    <row r="187" spans="3:3" x14ac:dyDescent="0.3">
      <c r="C187" s="12">
        <v>34000</v>
      </c>
    </row>
    <row r="188" spans="3:3" x14ac:dyDescent="0.3">
      <c r="C188" s="12">
        <v>34250</v>
      </c>
    </row>
    <row r="189" spans="3:3" x14ac:dyDescent="0.3">
      <c r="C189" s="12">
        <v>34500</v>
      </c>
    </row>
    <row r="190" spans="3:3" x14ac:dyDescent="0.3">
      <c r="C190" s="12">
        <v>34750</v>
      </c>
    </row>
    <row r="191" spans="3:3" x14ac:dyDescent="0.3">
      <c r="C191" s="12">
        <v>35000</v>
      </c>
    </row>
    <row r="192" spans="3:3" x14ac:dyDescent="0.3">
      <c r="C192" s="12">
        <v>35250</v>
      </c>
    </row>
    <row r="193" spans="3:3" x14ac:dyDescent="0.3">
      <c r="C193" s="12">
        <v>35500</v>
      </c>
    </row>
    <row r="194" spans="3:3" x14ac:dyDescent="0.3">
      <c r="C194" s="12">
        <v>35750</v>
      </c>
    </row>
    <row r="195" spans="3:3" x14ac:dyDescent="0.3">
      <c r="C195" s="12">
        <v>36000</v>
      </c>
    </row>
    <row r="196" spans="3:3" x14ac:dyDescent="0.3">
      <c r="C196" s="12">
        <v>36250</v>
      </c>
    </row>
    <row r="197" spans="3:3" x14ac:dyDescent="0.3">
      <c r="C197" s="12">
        <v>36500</v>
      </c>
    </row>
    <row r="198" spans="3:3" x14ac:dyDescent="0.3">
      <c r="C198" s="12">
        <v>36750</v>
      </c>
    </row>
    <row r="199" spans="3:3" x14ac:dyDescent="0.3">
      <c r="C199" s="12">
        <v>37000</v>
      </c>
    </row>
    <row r="200" spans="3:3" x14ac:dyDescent="0.3">
      <c r="C200" s="12">
        <v>37250</v>
      </c>
    </row>
    <row r="201" spans="3:3" x14ac:dyDescent="0.3">
      <c r="C201" s="12">
        <v>37500</v>
      </c>
    </row>
    <row r="202" spans="3:3" x14ac:dyDescent="0.3">
      <c r="C202" s="12">
        <v>37750</v>
      </c>
    </row>
    <row r="203" spans="3:3" x14ac:dyDescent="0.3">
      <c r="C203" s="12">
        <v>38000</v>
      </c>
    </row>
    <row r="204" spans="3:3" x14ac:dyDescent="0.3">
      <c r="C204" s="12">
        <v>38250</v>
      </c>
    </row>
    <row r="205" spans="3:3" x14ac:dyDescent="0.3">
      <c r="C205" s="12">
        <v>38500</v>
      </c>
    </row>
    <row r="206" spans="3:3" x14ac:dyDescent="0.3">
      <c r="C206" s="12">
        <v>38750</v>
      </c>
    </row>
    <row r="207" spans="3:3" x14ac:dyDescent="0.3">
      <c r="C207" s="12">
        <v>39000</v>
      </c>
    </row>
    <row r="208" spans="3:3" x14ac:dyDescent="0.3">
      <c r="C208" s="12">
        <v>39250</v>
      </c>
    </row>
    <row r="209" spans="3:3" x14ac:dyDescent="0.3">
      <c r="C209" s="12">
        <v>39500</v>
      </c>
    </row>
    <row r="210" spans="3:3" x14ac:dyDescent="0.3">
      <c r="C210" s="12">
        <v>39750</v>
      </c>
    </row>
    <row r="211" spans="3:3" x14ac:dyDescent="0.3">
      <c r="C211" s="12">
        <v>40000</v>
      </c>
    </row>
    <row r="212" spans="3:3" x14ac:dyDescent="0.3">
      <c r="C212" s="12">
        <v>40250</v>
      </c>
    </row>
    <row r="213" spans="3:3" x14ac:dyDescent="0.3">
      <c r="C213" s="12">
        <v>40500</v>
      </c>
    </row>
    <row r="214" spans="3:3" x14ac:dyDescent="0.3">
      <c r="C214" s="12">
        <v>40750</v>
      </c>
    </row>
    <row r="215" spans="3:3" x14ac:dyDescent="0.3">
      <c r="C215" s="12">
        <v>41000</v>
      </c>
    </row>
    <row r="216" spans="3:3" x14ac:dyDescent="0.3">
      <c r="C216" s="12">
        <v>41250</v>
      </c>
    </row>
    <row r="217" spans="3:3" x14ac:dyDescent="0.3">
      <c r="C217" s="12">
        <v>41500</v>
      </c>
    </row>
    <row r="218" spans="3:3" x14ac:dyDescent="0.3">
      <c r="C218" s="12">
        <v>41750</v>
      </c>
    </row>
    <row r="219" spans="3:3" x14ac:dyDescent="0.3">
      <c r="C219" s="12">
        <v>42000</v>
      </c>
    </row>
    <row r="220" spans="3:3" x14ac:dyDescent="0.3">
      <c r="C220" s="12">
        <v>42250</v>
      </c>
    </row>
    <row r="221" spans="3:3" x14ac:dyDescent="0.3">
      <c r="C221" s="12">
        <v>42500</v>
      </c>
    </row>
    <row r="222" spans="3:3" x14ac:dyDescent="0.3">
      <c r="C222" s="12">
        <v>42750</v>
      </c>
    </row>
    <row r="223" spans="3:3" x14ac:dyDescent="0.3">
      <c r="C223" s="12">
        <v>43000</v>
      </c>
    </row>
    <row r="224" spans="3:3" x14ac:dyDescent="0.3">
      <c r="C224" s="12">
        <v>43250</v>
      </c>
    </row>
    <row r="225" spans="3:3" x14ac:dyDescent="0.3">
      <c r="C225" s="12">
        <v>43500</v>
      </c>
    </row>
    <row r="226" spans="3:3" x14ac:dyDescent="0.3">
      <c r="C226" s="12">
        <v>43750</v>
      </c>
    </row>
    <row r="227" spans="3:3" x14ac:dyDescent="0.3">
      <c r="C227" s="12">
        <v>44000</v>
      </c>
    </row>
    <row r="228" spans="3:3" x14ac:dyDescent="0.3">
      <c r="C228" s="12">
        <v>44250</v>
      </c>
    </row>
    <row r="229" spans="3:3" x14ac:dyDescent="0.3">
      <c r="C229" s="12">
        <v>44500</v>
      </c>
    </row>
    <row r="230" spans="3:3" x14ac:dyDescent="0.3">
      <c r="C230" s="12">
        <v>44750</v>
      </c>
    </row>
    <row r="231" spans="3:3" x14ac:dyDescent="0.3">
      <c r="C231" s="12">
        <v>45000</v>
      </c>
    </row>
    <row r="232" spans="3:3" x14ac:dyDescent="0.3">
      <c r="C232" s="12">
        <v>45250</v>
      </c>
    </row>
    <row r="233" spans="3:3" x14ac:dyDescent="0.3">
      <c r="C233" s="12">
        <v>45500</v>
      </c>
    </row>
    <row r="234" spans="3:3" x14ac:dyDescent="0.3">
      <c r="C234" s="12">
        <v>45750</v>
      </c>
    </row>
    <row r="235" spans="3:3" x14ac:dyDescent="0.3">
      <c r="C235" s="12">
        <v>46000</v>
      </c>
    </row>
    <row r="236" spans="3:3" x14ac:dyDescent="0.3">
      <c r="C236" s="12">
        <v>46250</v>
      </c>
    </row>
    <row r="237" spans="3:3" x14ac:dyDescent="0.3">
      <c r="C237" s="12">
        <v>46500</v>
      </c>
    </row>
    <row r="238" spans="3:3" x14ac:dyDescent="0.3">
      <c r="C238" s="12">
        <v>46750</v>
      </c>
    </row>
    <row r="239" spans="3:3" x14ac:dyDescent="0.3">
      <c r="C239" s="12">
        <v>47000</v>
      </c>
    </row>
    <row r="240" spans="3:3" x14ac:dyDescent="0.3">
      <c r="C240" s="12">
        <v>47250</v>
      </c>
    </row>
    <row r="241" spans="3:3" x14ac:dyDescent="0.3">
      <c r="C241" s="12">
        <v>47500</v>
      </c>
    </row>
    <row r="242" spans="3:3" x14ac:dyDescent="0.3">
      <c r="C242" s="12">
        <v>47750</v>
      </c>
    </row>
    <row r="243" spans="3:3" x14ac:dyDescent="0.3">
      <c r="C243" s="12">
        <v>48000</v>
      </c>
    </row>
    <row r="244" spans="3:3" x14ac:dyDescent="0.3">
      <c r="C244" s="12">
        <v>48250</v>
      </c>
    </row>
    <row r="245" spans="3:3" x14ac:dyDescent="0.3">
      <c r="C245" s="12">
        <v>48500</v>
      </c>
    </row>
    <row r="246" spans="3:3" x14ac:dyDescent="0.3">
      <c r="C246" s="12">
        <v>48750</v>
      </c>
    </row>
    <row r="247" spans="3:3" x14ac:dyDescent="0.3">
      <c r="C247" s="12">
        <v>49000</v>
      </c>
    </row>
    <row r="248" spans="3:3" x14ac:dyDescent="0.3">
      <c r="C248" s="12">
        <v>49250</v>
      </c>
    </row>
    <row r="249" spans="3:3" x14ac:dyDescent="0.3">
      <c r="C249" s="12">
        <v>49500</v>
      </c>
    </row>
    <row r="250" spans="3:3" x14ac:dyDescent="0.3">
      <c r="C250" s="12">
        <v>49750</v>
      </c>
    </row>
    <row r="251" spans="3:3" x14ac:dyDescent="0.3">
      <c r="C251" s="12">
        <v>50000</v>
      </c>
    </row>
    <row r="252" spans="3:3" x14ac:dyDescent="0.3">
      <c r="C252" s="12" t="s">
        <v>129</v>
      </c>
    </row>
    <row r="253" spans="3:3" x14ac:dyDescent="0.3">
      <c r="C253" s="12" t="s">
        <v>130</v>
      </c>
    </row>
    <row r="254" spans="3:3" x14ac:dyDescent="0.3">
      <c r="C254" s="12" t="s">
        <v>131</v>
      </c>
    </row>
    <row r="255" spans="3:3" x14ac:dyDescent="0.3">
      <c r="C255" s="12" t="s">
        <v>132</v>
      </c>
    </row>
    <row r="256" spans="3:3" x14ac:dyDescent="0.3">
      <c r="C256" s="12" t="s">
        <v>133</v>
      </c>
    </row>
    <row r="257" spans="3:3" x14ac:dyDescent="0.3">
      <c r="C257" s="12" t="s">
        <v>134</v>
      </c>
    </row>
    <row r="258" spans="3:3" x14ac:dyDescent="0.3">
      <c r="C258" s="12" t="s">
        <v>135</v>
      </c>
    </row>
    <row r="259" spans="3:3" x14ac:dyDescent="0.3">
      <c r="C259" s="12" t="s">
        <v>136</v>
      </c>
    </row>
    <row r="260" spans="3:3" x14ac:dyDescent="0.3">
      <c r="C260" s="12">
        <v>449</v>
      </c>
    </row>
  </sheetData>
  <sheetProtection algorithmName="SHA-512" hashValue="QHaPQ5TmXycZs8YBQ4UBmdi3cL3K+10SeS4aEsLfvYphrpIcVgMrqWbWN9T6ziCwkIDLzeE3++IvwKhLN33fcg==" saltValue="R+u9UR5QaY+IHD8gpvOeow==" spinCount="100000" sheet="1" objects="1" scenarios="1" autoFilter="0" pivotTables="0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ECEF7E24609447BD4584004D04D4B0" ma:contentTypeVersion="18" ma:contentTypeDescription="Skapa ett nytt dokument." ma:contentTypeScope="" ma:versionID="e3f5170a9f03a2c1537abd740d358c46">
  <xsd:schema xmlns:xsd="http://www.w3.org/2001/XMLSchema" xmlns:xs="http://www.w3.org/2001/XMLSchema" xmlns:p="http://schemas.microsoft.com/office/2006/metadata/properties" xmlns:ns2="ae5fd8c4-2e5a-4228-83c8-bb757ca61746" xmlns:ns3="ff5f00d1-93fc-4bf6-8837-7d60cd7d5f82" targetNamespace="http://schemas.microsoft.com/office/2006/metadata/properties" ma:root="true" ma:fieldsID="039bba7e7481ecbec897a4e8adc3e55c" ns2:_="" ns3:_="">
    <xsd:import namespace="ae5fd8c4-2e5a-4228-83c8-bb757ca61746"/>
    <xsd:import namespace="ff5f00d1-93fc-4bf6-8837-7d60cd7d5f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fd8c4-2e5a-4228-83c8-bb757ca61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e3640b98-80ef-4d81-b58e-744d237735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00d1-93fc-4bf6-8837-7d60cd7d5f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c80271-1094-4622-93cb-3c9e98ea4e05}" ma:internalName="TaxCatchAll" ma:showField="CatchAllData" ma:web="ff5f00d1-93fc-4bf6-8837-7d60cd7d5f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5f00d1-93fc-4bf6-8837-7d60cd7d5f82" xsi:nil="true"/>
    <lcf76f155ced4ddcb4097134ff3c332f xmlns="ae5fd8c4-2e5a-4228-83c8-bb757ca617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223DC9-3237-4A2D-BDFF-CB90DD7C3A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71605D-AFF4-4466-B8AD-090B73DFF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fd8c4-2e5a-4228-83c8-bb757ca61746"/>
    <ds:schemaRef ds:uri="ff5f00d1-93fc-4bf6-8837-7d60cd7d5f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80F5E-E9DB-4360-8A3C-174007ED4730}">
  <ds:schemaRefs>
    <ds:schemaRef ds:uri="http://schemas.microsoft.com/office/2006/metadata/properties"/>
    <ds:schemaRef ds:uri="http://schemas.microsoft.com/office/infopath/2007/PartnerControls"/>
    <ds:schemaRef ds:uri="ff5f00d1-93fc-4bf6-8837-7d60cd7d5f82"/>
    <ds:schemaRef ds:uri="ae5fd8c4-2e5a-4228-83c8-bb757ca617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57</vt:i4>
      </vt:variant>
      <vt:variant>
        <vt:lpstr>Namngivna områden</vt:lpstr>
      </vt:variant>
      <vt:variant>
        <vt:i4>371</vt:i4>
      </vt:variant>
    </vt:vector>
  </HeadingPairs>
  <TitlesOfParts>
    <vt:vector size="428" baseType="lpstr">
      <vt:lpstr>V. 1, 30 dec-5 jan</vt:lpstr>
      <vt:lpstr>V. 2, 6 jan-12 jan</vt:lpstr>
      <vt:lpstr>V. 3, 13 jan-19 jan</vt:lpstr>
      <vt:lpstr>V. 4, 20 jan-26 jan</vt:lpstr>
      <vt:lpstr>V. 5, 27 jan-2 feb</vt:lpstr>
      <vt:lpstr>V. 6, 3 feb-9 feb</vt:lpstr>
      <vt:lpstr>V. 7, 10 feb-16 feb</vt:lpstr>
      <vt:lpstr>V. 8, 17 feb-23 feb</vt:lpstr>
      <vt:lpstr>V. 9, 24 feb-2 mar</vt:lpstr>
      <vt:lpstr>V. 10, 3 mar-9 mar</vt:lpstr>
      <vt:lpstr>V. 11, 10 mar-16 mar</vt:lpstr>
      <vt:lpstr>V. 12, 17 mar-23 mar</vt:lpstr>
      <vt:lpstr>V. 13, 24 mar-30 mar</vt:lpstr>
      <vt:lpstr>V. 14, 31 mar-6 apr</vt:lpstr>
      <vt:lpstr>V. 15, 7 apr-13 apr</vt:lpstr>
      <vt:lpstr>V. 16, 14 apr-20 apr</vt:lpstr>
      <vt:lpstr>V. 17, 21 apr-27 apr</vt:lpstr>
      <vt:lpstr>V. 18, 28 apr-4 maj</vt:lpstr>
      <vt:lpstr>V. 19, 5 maj-11 maj</vt:lpstr>
      <vt:lpstr>V. 20, 12 maj-18 maj</vt:lpstr>
      <vt:lpstr>V. 21, 19 maj-25 maj</vt:lpstr>
      <vt:lpstr>V. 22, 26 maj-1 jun</vt:lpstr>
      <vt:lpstr>V. 23, 2 jun-8 jun</vt:lpstr>
      <vt:lpstr>V. 24, 9 jun-15 jun</vt:lpstr>
      <vt:lpstr>V. 25, 16 jun-22 jun</vt:lpstr>
      <vt:lpstr>V. 26, 23 jun-29 jun</vt:lpstr>
      <vt:lpstr>V. 27, 30 jun-6 jul</vt:lpstr>
      <vt:lpstr>V. 28, 7 jul-13 jul</vt:lpstr>
      <vt:lpstr>V. 29, 14 jul-20 jul</vt:lpstr>
      <vt:lpstr>V. 30, 21 jul-27 jul</vt:lpstr>
      <vt:lpstr>V. 31, 28 jul-3 aug</vt:lpstr>
      <vt:lpstr>V. 32, 4 aug-10 aug</vt:lpstr>
      <vt:lpstr>V. 33, 11 aug-17 aug</vt:lpstr>
      <vt:lpstr>V. 34, 18 aug-24 aug</vt:lpstr>
      <vt:lpstr>V. 35, 25 aug-31 aug</vt:lpstr>
      <vt:lpstr>V. 36, 1 sep-7 sep</vt:lpstr>
      <vt:lpstr>V. 37, 8 sep-14 sep</vt:lpstr>
      <vt:lpstr>V. 38, 15 sep-21 sep</vt:lpstr>
      <vt:lpstr>V. 39, 22 sep-28 sep</vt:lpstr>
      <vt:lpstr>V. 40, 29 sep-5 okt</vt:lpstr>
      <vt:lpstr>V. 41, 6 okt-12 okt</vt:lpstr>
      <vt:lpstr>V. 42, 13 okt-19 okt</vt:lpstr>
      <vt:lpstr>V. 43, 20 okt-26 okt</vt:lpstr>
      <vt:lpstr>V. 44, 27 okt-2 nov</vt:lpstr>
      <vt:lpstr>V. 45, 3 nov-9 nov</vt:lpstr>
      <vt:lpstr>V. 46, 10 nov-16 nov</vt:lpstr>
      <vt:lpstr>V. 47, 17 nov-23 nov</vt:lpstr>
      <vt:lpstr>V. 48, 24 nov-30 nov</vt:lpstr>
      <vt:lpstr>V. 49, 1 dec-7 dec</vt:lpstr>
      <vt:lpstr>V. 50, 8 dec-14 dec</vt:lpstr>
      <vt:lpstr>V. 51, 15 dec-21 dec</vt:lpstr>
      <vt:lpstr>V. 52, 22 dec-28 dec</vt:lpstr>
      <vt:lpstr>V. 1, 29 dec-4 jan</vt:lpstr>
      <vt:lpstr>Kontaktuppgifter</vt:lpstr>
      <vt:lpstr>Fakturamall</vt:lpstr>
      <vt:lpstr>Kalenderår</vt:lpstr>
      <vt:lpstr>Listor</vt:lpstr>
      <vt:lpstr>Fredag1</vt:lpstr>
      <vt:lpstr>Fredag10</vt:lpstr>
      <vt:lpstr>Fredag11</vt:lpstr>
      <vt:lpstr>Fredag12</vt:lpstr>
      <vt:lpstr>Fredag13</vt:lpstr>
      <vt:lpstr>Fredag14</vt:lpstr>
      <vt:lpstr>Fredag15</vt:lpstr>
      <vt:lpstr>Fredag16</vt:lpstr>
      <vt:lpstr>Fredag17</vt:lpstr>
      <vt:lpstr>Fredag18</vt:lpstr>
      <vt:lpstr>Fredag19</vt:lpstr>
      <vt:lpstr>Fredag2</vt:lpstr>
      <vt:lpstr>Fredag20</vt:lpstr>
      <vt:lpstr>Fredag21</vt:lpstr>
      <vt:lpstr>Fredag22</vt:lpstr>
      <vt:lpstr>Fredag23</vt:lpstr>
      <vt:lpstr>Fredag24</vt:lpstr>
      <vt:lpstr>Fredag25</vt:lpstr>
      <vt:lpstr>Fredag26</vt:lpstr>
      <vt:lpstr>Fredag27</vt:lpstr>
      <vt:lpstr>Fredag28</vt:lpstr>
      <vt:lpstr>Fredag29</vt:lpstr>
      <vt:lpstr>Fredag3</vt:lpstr>
      <vt:lpstr>Fredag30</vt:lpstr>
      <vt:lpstr>Fredag31</vt:lpstr>
      <vt:lpstr>Fredag32</vt:lpstr>
      <vt:lpstr>Fredag33</vt:lpstr>
      <vt:lpstr>Fredag34</vt:lpstr>
      <vt:lpstr>Fredag35</vt:lpstr>
      <vt:lpstr>Fredag36</vt:lpstr>
      <vt:lpstr>Fredag37</vt:lpstr>
      <vt:lpstr>Fredag38</vt:lpstr>
      <vt:lpstr>Fredag39</vt:lpstr>
      <vt:lpstr>Fredag4</vt:lpstr>
      <vt:lpstr>Fredag40</vt:lpstr>
      <vt:lpstr>Fredag41</vt:lpstr>
      <vt:lpstr>Fredag42</vt:lpstr>
      <vt:lpstr>Fredag43</vt:lpstr>
      <vt:lpstr>Fredag44</vt:lpstr>
      <vt:lpstr>Fredag45</vt:lpstr>
      <vt:lpstr>Fredag46</vt:lpstr>
      <vt:lpstr>Fredag47</vt:lpstr>
      <vt:lpstr>Fredag48</vt:lpstr>
      <vt:lpstr>Fredag49</vt:lpstr>
      <vt:lpstr>Fredag5</vt:lpstr>
      <vt:lpstr>Fredag50</vt:lpstr>
      <vt:lpstr>Fredag51</vt:lpstr>
      <vt:lpstr>Fredag52</vt:lpstr>
      <vt:lpstr>Fredag53</vt:lpstr>
      <vt:lpstr>Fredag6</vt:lpstr>
      <vt:lpstr>Fredag7</vt:lpstr>
      <vt:lpstr>Fredag8</vt:lpstr>
      <vt:lpstr>Fredag9</vt:lpstr>
      <vt:lpstr>Lördag1</vt:lpstr>
      <vt:lpstr>Lördag10</vt:lpstr>
      <vt:lpstr>Lördag11</vt:lpstr>
      <vt:lpstr>Lördag12</vt:lpstr>
      <vt:lpstr>Lördag13</vt:lpstr>
      <vt:lpstr>Lördag14</vt:lpstr>
      <vt:lpstr>Lördag15</vt:lpstr>
      <vt:lpstr>Lördag16</vt:lpstr>
      <vt:lpstr>Lördag17</vt:lpstr>
      <vt:lpstr>Lördag18</vt:lpstr>
      <vt:lpstr>Lördag19</vt:lpstr>
      <vt:lpstr>Lördag2</vt:lpstr>
      <vt:lpstr>Lördag20</vt:lpstr>
      <vt:lpstr>Lördag21</vt:lpstr>
      <vt:lpstr>Lördag22</vt:lpstr>
      <vt:lpstr>Lördag23</vt:lpstr>
      <vt:lpstr>Lördag24</vt:lpstr>
      <vt:lpstr>Lördag25</vt:lpstr>
      <vt:lpstr>Lördag26</vt:lpstr>
      <vt:lpstr>Lördag27</vt:lpstr>
      <vt:lpstr>Lördag28</vt:lpstr>
      <vt:lpstr>Lördag29</vt:lpstr>
      <vt:lpstr>Lördag3</vt:lpstr>
      <vt:lpstr>Lördag30</vt:lpstr>
      <vt:lpstr>Lördag31</vt:lpstr>
      <vt:lpstr>Lördag32</vt:lpstr>
      <vt:lpstr>Lördag33</vt:lpstr>
      <vt:lpstr>Lördag34</vt:lpstr>
      <vt:lpstr>Lördag35</vt:lpstr>
      <vt:lpstr>Lördag36</vt:lpstr>
      <vt:lpstr>Lördag37</vt:lpstr>
      <vt:lpstr>Lördag38</vt:lpstr>
      <vt:lpstr>Lördag39</vt:lpstr>
      <vt:lpstr>Lördag4</vt:lpstr>
      <vt:lpstr>Lördag40</vt:lpstr>
      <vt:lpstr>Lördag41</vt:lpstr>
      <vt:lpstr>Lördag42</vt:lpstr>
      <vt:lpstr>Lördag43</vt:lpstr>
      <vt:lpstr>Lördag44</vt:lpstr>
      <vt:lpstr>Lördag45</vt:lpstr>
      <vt:lpstr>Lördag46</vt:lpstr>
      <vt:lpstr>Lördag47</vt:lpstr>
      <vt:lpstr>Lördag48</vt:lpstr>
      <vt:lpstr>Lördag49</vt:lpstr>
      <vt:lpstr>Lördag5</vt:lpstr>
      <vt:lpstr>Lördag50</vt:lpstr>
      <vt:lpstr>Lördag51</vt:lpstr>
      <vt:lpstr>Lördag52</vt:lpstr>
      <vt:lpstr>Lördag53</vt:lpstr>
      <vt:lpstr>Lördag6</vt:lpstr>
      <vt:lpstr>Lördag7</vt:lpstr>
      <vt:lpstr>Lördag8</vt:lpstr>
      <vt:lpstr>Lördag9</vt:lpstr>
      <vt:lpstr>Måndag1</vt:lpstr>
      <vt:lpstr>Måndag10</vt:lpstr>
      <vt:lpstr>Måndag11</vt:lpstr>
      <vt:lpstr>Måndag12</vt:lpstr>
      <vt:lpstr>Måndag13</vt:lpstr>
      <vt:lpstr>Måndag14</vt:lpstr>
      <vt:lpstr>Måndag15</vt:lpstr>
      <vt:lpstr>Måndag16</vt:lpstr>
      <vt:lpstr>Måndag17</vt:lpstr>
      <vt:lpstr>Måndag18</vt:lpstr>
      <vt:lpstr>Måndag19</vt:lpstr>
      <vt:lpstr>Måndag2</vt:lpstr>
      <vt:lpstr>Måndag20</vt:lpstr>
      <vt:lpstr>Måndag21</vt:lpstr>
      <vt:lpstr>Måndag22</vt:lpstr>
      <vt:lpstr>Måndag23</vt:lpstr>
      <vt:lpstr>Måndag24</vt:lpstr>
      <vt:lpstr>Måndag25</vt:lpstr>
      <vt:lpstr>Måndag26</vt:lpstr>
      <vt:lpstr>Måndag27</vt:lpstr>
      <vt:lpstr>Måndag28</vt:lpstr>
      <vt:lpstr>Måndag29</vt:lpstr>
      <vt:lpstr>Måndag3</vt:lpstr>
      <vt:lpstr>Måndag30</vt:lpstr>
      <vt:lpstr>Måndag31</vt:lpstr>
      <vt:lpstr>Måndag32</vt:lpstr>
      <vt:lpstr>Måndag33</vt:lpstr>
      <vt:lpstr>Måndag34</vt:lpstr>
      <vt:lpstr>Måndag35</vt:lpstr>
      <vt:lpstr>Måndag36</vt:lpstr>
      <vt:lpstr>Måndag37</vt:lpstr>
      <vt:lpstr>Måndag38</vt:lpstr>
      <vt:lpstr>Måndag39</vt:lpstr>
      <vt:lpstr>Måndag4</vt:lpstr>
      <vt:lpstr>Måndag40</vt:lpstr>
      <vt:lpstr>Måndag41</vt:lpstr>
      <vt:lpstr>Måndag42</vt:lpstr>
      <vt:lpstr>Måndag43</vt:lpstr>
      <vt:lpstr>Måndag44</vt:lpstr>
      <vt:lpstr>Måndag45</vt:lpstr>
      <vt:lpstr>Måndag46</vt:lpstr>
      <vt:lpstr>Måndag47</vt:lpstr>
      <vt:lpstr>Måndag48</vt:lpstr>
      <vt:lpstr>Måndag49</vt:lpstr>
      <vt:lpstr>Måndag5</vt:lpstr>
      <vt:lpstr>Måndag50</vt:lpstr>
      <vt:lpstr>Måndag51</vt:lpstr>
      <vt:lpstr>Måndag52</vt:lpstr>
      <vt:lpstr>Måndag53</vt:lpstr>
      <vt:lpstr>Måndag6</vt:lpstr>
      <vt:lpstr>Måndag7</vt:lpstr>
      <vt:lpstr>Måndag8</vt:lpstr>
      <vt:lpstr>Måndag9</vt:lpstr>
      <vt:lpstr>Onsdag1</vt:lpstr>
      <vt:lpstr>Onsdag10</vt:lpstr>
      <vt:lpstr>Onsdag11</vt:lpstr>
      <vt:lpstr>Onsdag12</vt:lpstr>
      <vt:lpstr>Onsdag13</vt:lpstr>
      <vt:lpstr>Onsdag14</vt:lpstr>
      <vt:lpstr>Onsdag15</vt:lpstr>
      <vt:lpstr>Onsdag16</vt:lpstr>
      <vt:lpstr>Onsdag17</vt:lpstr>
      <vt:lpstr>Onsdag18</vt:lpstr>
      <vt:lpstr>Onsdag19</vt:lpstr>
      <vt:lpstr>Onsdag2</vt:lpstr>
      <vt:lpstr>Onsdag20</vt:lpstr>
      <vt:lpstr>Onsdag21</vt:lpstr>
      <vt:lpstr>Onsdag22</vt:lpstr>
      <vt:lpstr>Onsdag23</vt:lpstr>
      <vt:lpstr>Onsdag24</vt:lpstr>
      <vt:lpstr>Onsdag25</vt:lpstr>
      <vt:lpstr>Onsdag26</vt:lpstr>
      <vt:lpstr>Onsdag27</vt:lpstr>
      <vt:lpstr>Onsdag28</vt:lpstr>
      <vt:lpstr>Onsdag29</vt:lpstr>
      <vt:lpstr>Onsdag3</vt:lpstr>
      <vt:lpstr>Onsdag30</vt:lpstr>
      <vt:lpstr>Onsdag31</vt:lpstr>
      <vt:lpstr>Onsdag32</vt:lpstr>
      <vt:lpstr>Onsdag33</vt:lpstr>
      <vt:lpstr>Onsdag34</vt:lpstr>
      <vt:lpstr>Onsdag35</vt:lpstr>
      <vt:lpstr>Onsdag36</vt:lpstr>
      <vt:lpstr>Onsdag37</vt:lpstr>
      <vt:lpstr>Onsdag38</vt:lpstr>
      <vt:lpstr>Onsdag39</vt:lpstr>
      <vt:lpstr>Onsdag4</vt:lpstr>
      <vt:lpstr>Onsdag40</vt:lpstr>
      <vt:lpstr>Onsdag41</vt:lpstr>
      <vt:lpstr>Onsdag42</vt:lpstr>
      <vt:lpstr>Onsdag43</vt:lpstr>
      <vt:lpstr>Onsdag44</vt:lpstr>
      <vt:lpstr>Onsdag45</vt:lpstr>
      <vt:lpstr>Onsdag46</vt:lpstr>
      <vt:lpstr>Onsdag47</vt:lpstr>
      <vt:lpstr>Onsdag48</vt:lpstr>
      <vt:lpstr>Onsdag49</vt:lpstr>
      <vt:lpstr>Onsdag5</vt:lpstr>
      <vt:lpstr>Onsdag50</vt:lpstr>
      <vt:lpstr>Onsdag51</vt:lpstr>
      <vt:lpstr>Onsdag52</vt:lpstr>
      <vt:lpstr>Onsdag53</vt:lpstr>
      <vt:lpstr>Onsdag6</vt:lpstr>
      <vt:lpstr>Onsdag7</vt:lpstr>
      <vt:lpstr>Onsdag8</vt:lpstr>
      <vt:lpstr>Onsdag9</vt:lpstr>
      <vt:lpstr>Söndag1</vt:lpstr>
      <vt:lpstr>Söndag10</vt:lpstr>
      <vt:lpstr>Söndag11</vt:lpstr>
      <vt:lpstr>Söndag12</vt:lpstr>
      <vt:lpstr>Söndag13</vt:lpstr>
      <vt:lpstr>Söndag14</vt:lpstr>
      <vt:lpstr>Söndag15</vt:lpstr>
      <vt:lpstr>Söndag16</vt:lpstr>
      <vt:lpstr>Söndag17</vt:lpstr>
      <vt:lpstr>Söndag18</vt:lpstr>
      <vt:lpstr>Söndag19</vt:lpstr>
      <vt:lpstr>Söndag2</vt:lpstr>
      <vt:lpstr>Söndag20</vt:lpstr>
      <vt:lpstr>Söndag21</vt:lpstr>
      <vt:lpstr>Söndag22</vt:lpstr>
      <vt:lpstr>Söndag23</vt:lpstr>
      <vt:lpstr>Söndag24</vt:lpstr>
      <vt:lpstr>Söndag25</vt:lpstr>
      <vt:lpstr>Söndag26</vt:lpstr>
      <vt:lpstr>Söndag27</vt:lpstr>
      <vt:lpstr>Söndag28</vt:lpstr>
      <vt:lpstr>Söndag29</vt:lpstr>
      <vt:lpstr>Söndag3</vt:lpstr>
      <vt:lpstr>Söndag30</vt:lpstr>
      <vt:lpstr>Söndag31</vt:lpstr>
      <vt:lpstr>Söndag32</vt:lpstr>
      <vt:lpstr>Söndag33</vt:lpstr>
      <vt:lpstr>Söndag34</vt:lpstr>
      <vt:lpstr>Söndag35</vt:lpstr>
      <vt:lpstr>Söndag36</vt:lpstr>
      <vt:lpstr>Söndag37</vt:lpstr>
      <vt:lpstr>Söndag38</vt:lpstr>
      <vt:lpstr>Söndag39</vt:lpstr>
      <vt:lpstr>Söndag4</vt:lpstr>
      <vt:lpstr>Söndag40</vt:lpstr>
      <vt:lpstr>Söndag41</vt:lpstr>
      <vt:lpstr>Söndag42</vt:lpstr>
      <vt:lpstr>Söndag43</vt:lpstr>
      <vt:lpstr>Söndag44</vt:lpstr>
      <vt:lpstr>Söndag45</vt:lpstr>
      <vt:lpstr>Söndag46</vt:lpstr>
      <vt:lpstr>Söndag47</vt:lpstr>
      <vt:lpstr>Söndag48</vt:lpstr>
      <vt:lpstr>Söndag49</vt:lpstr>
      <vt:lpstr>Söndag5</vt:lpstr>
      <vt:lpstr>Söndag50</vt:lpstr>
      <vt:lpstr>Söndag51</vt:lpstr>
      <vt:lpstr>Söndag52</vt:lpstr>
      <vt:lpstr>Söndag53</vt:lpstr>
      <vt:lpstr>Söndag6</vt:lpstr>
      <vt:lpstr>Söndag7</vt:lpstr>
      <vt:lpstr>Söndag8</vt:lpstr>
      <vt:lpstr>Söndag9</vt:lpstr>
      <vt:lpstr>Tisdag1</vt:lpstr>
      <vt:lpstr>Tisdag10</vt:lpstr>
      <vt:lpstr>Tisdag11</vt:lpstr>
      <vt:lpstr>Tisdag12</vt:lpstr>
      <vt:lpstr>Tisdag13</vt:lpstr>
      <vt:lpstr>Tisdag14</vt:lpstr>
      <vt:lpstr>Tisdag15</vt:lpstr>
      <vt:lpstr>Tisdag16</vt:lpstr>
      <vt:lpstr>Tisdag17</vt:lpstr>
      <vt:lpstr>Tisdag18</vt:lpstr>
      <vt:lpstr>Tisdag19</vt:lpstr>
      <vt:lpstr>Tisdag2</vt:lpstr>
      <vt:lpstr>Tisdag20</vt:lpstr>
      <vt:lpstr>Tisdag21</vt:lpstr>
      <vt:lpstr>Tisdag22</vt:lpstr>
      <vt:lpstr>Tisdag23</vt:lpstr>
      <vt:lpstr>Tisdag24</vt:lpstr>
      <vt:lpstr>Tisdag25</vt:lpstr>
      <vt:lpstr>Tisdag26</vt:lpstr>
      <vt:lpstr>Tisdag27</vt:lpstr>
      <vt:lpstr>Tisdag28</vt:lpstr>
      <vt:lpstr>Tisdag29</vt:lpstr>
      <vt:lpstr>Tisdag3</vt:lpstr>
      <vt:lpstr>Tisdag30</vt:lpstr>
      <vt:lpstr>Tisdag31</vt:lpstr>
      <vt:lpstr>Tisdag32</vt:lpstr>
      <vt:lpstr>Tisdag33</vt:lpstr>
      <vt:lpstr>Tisdag34</vt:lpstr>
      <vt:lpstr>Tisdag35</vt:lpstr>
      <vt:lpstr>Tisdag36</vt:lpstr>
      <vt:lpstr>Tisdag37</vt:lpstr>
      <vt:lpstr>Tisdag38</vt:lpstr>
      <vt:lpstr>Tisdag39</vt:lpstr>
      <vt:lpstr>Tisdag4</vt:lpstr>
      <vt:lpstr>Tisdag40</vt:lpstr>
      <vt:lpstr>Tisdag41</vt:lpstr>
      <vt:lpstr>Tisdag42</vt:lpstr>
      <vt:lpstr>Tisdag43</vt:lpstr>
      <vt:lpstr>Tisdag44</vt:lpstr>
      <vt:lpstr>Tisdag45</vt:lpstr>
      <vt:lpstr>Tisdag46</vt:lpstr>
      <vt:lpstr>Tisdag47</vt:lpstr>
      <vt:lpstr>Tisdag48</vt:lpstr>
      <vt:lpstr>Tisdag49</vt:lpstr>
      <vt:lpstr>Tisdag5</vt:lpstr>
      <vt:lpstr>Tisdag50</vt:lpstr>
      <vt:lpstr>Tisdag51</vt:lpstr>
      <vt:lpstr>Tisdag52</vt:lpstr>
      <vt:lpstr>Tisdag53</vt:lpstr>
      <vt:lpstr>Tisdag6</vt:lpstr>
      <vt:lpstr>Tisdag7</vt:lpstr>
      <vt:lpstr>Tisdag8</vt:lpstr>
      <vt:lpstr>Tisdag9</vt:lpstr>
      <vt:lpstr>Torsdag1</vt:lpstr>
      <vt:lpstr>Torsdag10</vt:lpstr>
      <vt:lpstr>Torsdag11</vt:lpstr>
      <vt:lpstr>Torsdag12</vt:lpstr>
      <vt:lpstr>Torsdag13</vt:lpstr>
      <vt:lpstr>Torsdag14</vt:lpstr>
      <vt:lpstr>Torsdag15</vt:lpstr>
      <vt:lpstr>Torsdag16</vt:lpstr>
      <vt:lpstr>Torsdag17</vt:lpstr>
      <vt:lpstr>Torsdag18</vt:lpstr>
      <vt:lpstr>Torsdag19</vt:lpstr>
      <vt:lpstr>Torsdag2</vt:lpstr>
      <vt:lpstr>Torsdag20</vt:lpstr>
      <vt:lpstr>Torsdag21</vt:lpstr>
      <vt:lpstr>Torsdag22</vt:lpstr>
      <vt:lpstr>Torsdag23</vt:lpstr>
      <vt:lpstr>Torsdag24</vt:lpstr>
      <vt:lpstr>Torsdag25</vt:lpstr>
      <vt:lpstr>Torsdag26</vt:lpstr>
      <vt:lpstr>Torsdag27</vt:lpstr>
      <vt:lpstr>Torsdag28</vt:lpstr>
      <vt:lpstr>Torsdag29</vt:lpstr>
      <vt:lpstr>Torsdag3</vt:lpstr>
      <vt:lpstr>Torsdag30</vt:lpstr>
      <vt:lpstr>Torsdag31</vt:lpstr>
      <vt:lpstr>Torsdag32</vt:lpstr>
      <vt:lpstr>Torsdag33</vt:lpstr>
      <vt:lpstr>Torsdag34</vt:lpstr>
      <vt:lpstr>Torsdag35</vt:lpstr>
      <vt:lpstr>Torsdag36</vt:lpstr>
      <vt:lpstr>Torsdag37</vt:lpstr>
      <vt:lpstr>Torsdag38</vt:lpstr>
      <vt:lpstr>Torsdag39</vt:lpstr>
      <vt:lpstr>Torsdag4</vt:lpstr>
      <vt:lpstr>Torsdag40</vt:lpstr>
      <vt:lpstr>Torsdag41</vt:lpstr>
      <vt:lpstr>Torsdag42</vt:lpstr>
      <vt:lpstr>Torsdag43</vt:lpstr>
      <vt:lpstr>Torsdag44</vt:lpstr>
      <vt:lpstr>Torsdag45</vt:lpstr>
      <vt:lpstr>Torsdag46</vt:lpstr>
      <vt:lpstr>Torsdag47</vt:lpstr>
      <vt:lpstr>Torsdag48</vt:lpstr>
      <vt:lpstr>Torsdag49</vt:lpstr>
      <vt:lpstr>Torsdag5</vt:lpstr>
      <vt:lpstr>Torsdag50</vt:lpstr>
      <vt:lpstr>Torsdag51</vt:lpstr>
      <vt:lpstr>Torsdag52</vt:lpstr>
      <vt:lpstr>Torsdag53</vt:lpstr>
      <vt:lpstr>Torsdag6</vt:lpstr>
      <vt:lpstr>Torsdag7</vt:lpstr>
      <vt:lpstr>Torsdag8</vt:lpstr>
      <vt:lpstr>Torsdag9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Västerås Friidrottsklubb Kansliet</dc:creator>
  <cp:lastModifiedBy>Västerås Friidrottsklubb Kansliet</cp:lastModifiedBy>
  <cp:lastPrinted>2025-06-30T06:00:49Z</cp:lastPrinted>
  <dcterms:created xsi:type="dcterms:W3CDTF">2025-01-11T10:47:50Z</dcterms:created>
  <dcterms:modified xsi:type="dcterms:W3CDTF">2025-07-18T12:17:16Z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0x010100FBECEF7E24609447BD4584004D04D4B0</vt:lpwstr>
  </property>
  <property fmtid="{D5CDD505-2E9C-101B-9397-08002B2CF9AE}" pid="3" name="MediaServiceImageTags">
    <vt:lpwstr/>
  </property>
</Properties>
</file>